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difoo\Desktop\Billard\Saison 2025-2026\CADRE\"/>
    </mc:Choice>
  </mc:AlternateContent>
  <xr:revisionPtr revIDLastSave="0" documentId="8_{15E75921-7745-489A-9474-3DCE576415D0}" xr6:coauthVersionLast="47" xr6:coauthVersionMax="47" xr10:uidLastSave="{00000000-0000-0000-0000-000000000000}"/>
  <bookViews>
    <workbookView xWindow="-108" yWindow="-108" windowWidth="23256" windowHeight="12456" tabRatio="665" activeTab="2" xr2:uid="{00000000-000D-0000-FFFF-FFFF00000000}"/>
  </bookViews>
  <sheets>
    <sheet name="Tirage" sheetId="1" r:id="rId1"/>
    <sheet name="Match" sheetId="2" r:id="rId2"/>
    <sheet name="Classement impression" sheetId="3" r:id="rId3"/>
    <sheet name="Feuille de résultat" sheetId="5" r:id="rId4"/>
    <sheet name="Engagement tour suivant (1)" sheetId="6" state="hidden" r:id="rId5"/>
    <sheet name="Engagement tour suivant" sheetId="8" r:id="rId6"/>
    <sheet name="Joueurs" sheetId="4" r:id="rId7"/>
  </sheets>
  <externalReferences>
    <externalReference r:id="rId8"/>
    <externalReference r:id="rId9"/>
  </externalReferences>
  <definedNames>
    <definedName name="_xlnm._FilterDatabase" localSheetId="6" hidden="1">Joueurs!$A$4:$D$412</definedName>
    <definedName name="_GoBack" localSheetId="5">'Engagement tour suivant'!$F$30</definedName>
    <definedName name="Categories">Tirage!$Q$32:$Q$48</definedName>
    <definedName name="class_6joueurs">'[1]Feuille de match'!$CB$168:$CK$173</definedName>
    <definedName name="Class_finale">Match!$FT$4:$FX$21</definedName>
    <definedName name="Class_general_tous">'[1]Feuille de match'!$BY$148:$CL$173</definedName>
    <definedName name="Classement_intermediaire">'[1]Feuille de match'!$AO$151:$AZ$156</definedName>
    <definedName name="Classementfinal">Match!$EO$27:$FB$34</definedName>
    <definedName name="demifinale">Match!$O$14:$Y$18</definedName>
    <definedName name="Finale">Match!$M$21:$X$28</definedName>
    <definedName name="joueurs">Tirage!$A$6:$C$24</definedName>
    <definedName name="Lieu">Tirage!$Q$7:$Q$18</definedName>
    <definedName name="m">'[1]Feuille de match'!$BV$84:$BV$97</definedName>
    <definedName name="match1">'[1]Feuille de match'!$AO$84:$AY$87</definedName>
    <definedName name="match10">'[1]Feuille de match'!$AO$125:$AX$126</definedName>
    <definedName name="Match2">'[1]Feuille de match'!$AO$90:$AY$94</definedName>
    <definedName name="match3">'[1]Feuille de match'!$AO$96:$AX$97</definedName>
    <definedName name="match4">'[1]Feuille de match'!$AO$100:$AX$101</definedName>
    <definedName name="match5">'[1]Feuille de match'!$AO$105:$AX$106</definedName>
    <definedName name="match6">'[1]Feuille de match'!$AO$109:$AX$110</definedName>
    <definedName name="match7">'[1]Feuille de match'!$AO$113:$AX$114</definedName>
    <definedName name="match8">'[1]Feuille de match'!$AO$117:$AX$118</definedName>
    <definedName name="match9">'[1]Feuille de match'!$AO$121:$AX$122</definedName>
    <definedName name="Mécanisme_de_jeu">Tirage!$L$7:$L$11</definedName>
    <definedName name="Mini_bonus">Tirage!$D$38</definedName>
    <definedName name="Mode_de_jeu">Tirage!$Q$21:$Q$24</definedName>
    <definedName name="Moyenneintermediaire">Match!$EP$36:$EY$41</definedName>
    <definedName name="Nb_joueurs">'[1]Feuille de match'!$R$2</definedName>
    <definedName name="Nom_des_joueurs">'[1]Feuille de match'!$R$4:$U$13</definedName>
    <definedName name="p1_1">Match!$C$6:$K$7</definedName>
    <definedName name="p1_2">Match!$O$6:$X$7</definedName>
    <definedName name="Poule1">Match!$C$6:$K$10</definedName>
    <definedName name="poule2">Match!$C$14:$K$18</definedName>
    <definedName name="poule3">Match!$C$23:$K$27</definedName>
    <definedName name="poule4">Match!$C$31:$K$35</definedName>
    <definedName name="poule5">Match!$O$6:$X$10</definedName>
    <definedName name="Poule6">Match!$O$14:$X$18</definedName>
    <definedName name="Pts_rep">'[1]Feuille de match'!$BY$84:$CD$114</definedName>
    <definedName name="Quota">Tirage!$G$17</definedName>
    <definedName name="quotareduit">Tirage!$G$18</definedName>
    <definedName name="Saisie">'[1]Feuille de match'!$H$16:$J$16,'[1]Feuille de match'!$H$17,'[1]Feuille de match'!$J$17,'[1]Feuille de match'!$H$20:$J$20,'[1]Feuille de match'!$H$21,'[1]Feuille de match'!$J$21,'[1]Feuille de match'!$H$24:$J$24,'[1]Feuille de match'!$J$25,'[1]Feuille de match'!$H$25,'[1]Feuille de match'!$H$28:$J$28,'[1]Feuille de match'!$J$29,'[1]Feuille de match'!$H$29,'[1]Feuille de match'!$H$32:$J$32,'[1]Feuille de match'!$J$33,'[1]Feuille de match'!$H$33,'[1]Feuille de match'!$H$36:$J$36,'[1]Feuille de match'!$J$37,'[1]Feuille de match'!$H$37,'[1]Feuille de match'!$H$40:$J$40,'[1]Feuille de match'!$J$41,'[1]Feuille de match'!$H$41,'[1]Feuille de match'!$H$44:$J$44,'[1]Feuille de match'!$H$45,'[1]Feuille de match'!$J$45,'[1]Feuille de match'!$H$48:$J$48,'[1]Feuille de match'!$J$49,'[1]Feuille de match'!$H$49,'[1]Feuille de match'!$H$52:$J$52,'[1]Feuille de match'!$J$53,'[1]Feuille de match'!$H$53,'[1]Feuille de match'!$R$4:$R$9</definedName>
    <definedName name="Scénario">'[1]Feuille de match'!$AR$193:$BE$268</definedName>
    <definedName name="Scenario1">Match!$CY$2:$DN$25</definedName>
    <definedName name="scenario2">Match!$DP$2:$EE$27</definedName>
    <definedName name="Stade_epreuve">Tirage!$Q$29:$Q$30</definedName>
    <definedName name="Tb_Moyenneintermediaire">Match!$FS$2:$FY$11</definedName>
    <definedName name="Tour1">Match!$C$6:$K$10,Match!$O$6:$X$10,Match!#REF!,Match!#REF!</definedName>
    <definedName name="Tour2">Match!$C$14:$K$18,Match!#REF!,Match!#REF!,Match!#REF!</definedName>
    <definedName name="tour3">Match!#REF!,Match!#REF!,Match!#REF!,Match!$C$23:$K$27</definedName>
    <definedName name="tour4">Match!$C$23:$K$27,Match!#REF!,Match!#REF!,Match!#REF!</definedName>
    <definedName name="TourDeJeu">Match!$CY$2:$DN$44</definedName>
    <definedName name="TourDeJeu2">Match!$DP$2:$EE$44</definedName>
    <definedName name="tr">[2]Tirage!$P$27:$P$34</definedName>
    <definedName name="_xlnm.Print_Area" localSheetId="2">'Classement impression'!$A$1:$U$38</definedName>
    <definedName name="_xlnm.Print_Area" localSheetId="5">'Engagement tour suivant'!$A$1:$G$35</definedName>
    <definedName name="_xlnm.Print_Area" localSheetId="4">'Engagement tour suivant (1)'!$C$1:$L$50</definedName>
    <definedName name="_xlnm.Print_Area" localSheetId="3">'Feuille de résultat'!$B$1:$Q$43</definedName>
    <definedName name="_xlnm.Print_Area" localSheetId="1">Match!$A$1:$Y$38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88" i="1" l="1"/>
  <c r="Q87" i="1"/>
  <c r="Q86" i="1"/>
  <c r="Q85" i="1"/>
  <c r="Q84" i="1"/>
  <c r="Q83" i="1"/>
  <c r="Q82" i="1"/>
  <c r="Q81" i="1"/>
  <c r="Q80" i="1"/>
  <c r="Q79" i="1"/>
  <c r="Q78" i="1"/>
  <c r="Q77" i="1"/>
  <c r="Q76" i="1"/>
  <c r="Q75" i="1"/>
  <c r="Q74" i="1"/>
  <c r="Q73" i="1"/>
  <c r="Q72" i="1"/>
  <c r="Q71" i="1"/>
  <c r="Q70" i="1"/>
  <c r="Q69" i="1"/>
  <c r="Q68" i="1"/>
  <c r="Q67" i="1"/>
  <c r="Q66" i="1"/>
  <c r="Q65" i="1"/>
  <c r="Q64" i="1"/>
  <c r="Q63" i="1"/>
  <c r="Q62" i="1"/>
  <c r="Q61" i="1"/>
  <c r="Q60" i="1"/>
  <c r="Q59" i="1"/>
  <c r="Q58" i="1"/>
  <c r="Q57" i="1"/>
  <c r="Q56" i="1"/>
  <c r="Q55" i="1"/>
  <c r="Q54" i="1"/>
  <c r="Q53" i="1"/>
  <c r="Q52" i="1"/>
  <c r="Q51" i="1"/>
  <c r="F19" i="3"/>
  <c r="F18" i="3"/>
  <c r="F17" i="3"/>
  <c r="G19" i="3"/>
  <c r="G18" i="3"/>
  <c r="G17" i="3"/>
  <c r="AK21" i="5" s="1"/>
  <c r="H19" i="3"/>
  <c r="H18" i="3"/>
  <c r="H17" i="3"/>
  <c r="E19" i="3"/>
  <c r="E18" i="3"/>
  <c r="E17" i="3"/>
  <c r="D19" i="3"/>
  <c r="D18" i="3"/>
  <c r="D17" i="3"/>
  <c r="C19" i="3"/>
  <c r="C18" i="3"/>
  <c r="C17" i="3"/>
  <c r="S21" i="5" s="1"/>
  <c r="I17" i="3"/>
  <c r="R10" i="2"/>
  <c r="F27" i="2"/>
  <c r="F15" i="2"/>
  <c r="N9" i="2"/>
  <c r="N6" i="2"/>
  <c r="B34" i="2"/>
  <c r="B31" i="2"/>
  <c r="B26" i="2"/>
  <c r="B23" i="2"/>
  <c r="B17" i="2"/>
  <c r="B14" i="2"/>
  <c r="B9" i="2"/>
  <c r="B6" i="2"/>
  <c r="B10" i="1"/>
  <c r="F24" i="2"/>
  <c r="F18" i="2"/>
  <c r="F10" i="2"/>
  <c r="F19" i="8"/>
  <c r="F18" i="8"/>
  <c r="E8" i="8"/>
  <c r="C8" i="8"/>
  <c r="E19" i="6"/>
  <c r="P6" i="3"/>
  <c r="S3" i="1"/>
  <c r="S5" i="1"/>
  <c r="S6" i="1"/>
  <c r="S7" i="1"/>
  <c r="S8" i="1"/>
  <c r="S9" i="1"/>
  <c r="S13" i="1"/>
  <c r="T44" i="3"/>
  <c r="S44" i="3"/>
  <c r="Q44" i="3"/>
  <c r="O44" i="3"/>
  <c r="Q43" i="3"/>
  <c r="P43" i="3"/>
  <c r="O43" i="3"/>
  <c r="T43" i="3"/>
  <c r="S43" i="3"/>
  <c r="T39" i="3"/>
  <c r="S39" i="3"/>
  <c r="Q39" i="3"/>
  <c r="O39" i="3"/>
  <c r="Q38" i="3"/>
  <c r="P38" i="3"/>
  <c r="O38" i="3"/>
  <c r="T38" i="3"/>
  <c r="S38" i="3"/>
  <c r="T36" i="3"/>
  <c r="S36" i="3"/>
  <c r="Q36" i="3"/>
  <c r="O36" i="3"/>
  <c r="Q35" i="3"/>
  <c r="P35" i="3"/>
  <c r="O35" i="3"/>
  <c r="T35" i="3"/>
  <c r="S35" i="3"/>
  <c r="T31" i="3"/>
  <c r="S31" i="3"/>
  <c r="Q31" i="3"/>
  <c r="O31" i="3"/>
  <c r="Q30" i="3"/>
  <c r="P30" i="3"/>
  <c r="O30" i="3"/>
  <c r="T30" i="3"/>
  <c r="S30" i="3"/>
  <c r="T29" i="3"/>
  <c r="S29" i="3"/>
  <c r="Q29" i="3"/>
  <c r="O29" i="3"/>
  <c r="Q28" i="3"/>
  <c r="P28" i="3"/>
  <c r="O28" i="3"/>
  <c r="T28" i="3"/>
  <c r="S28" i="3"/>
  <c r="T26" i="3"/>
  <c r="S26" i="3"/>
  <c r="Q26" i="3"/>
  <c r="O26" i="3"/>
  <c r="T25" i="3"/>
  <c r="S25" i="3"/>
  <c r="Q25" i="3"/>
  <c r="P25" i="3"/>
  <c r="O25" i="3"/>
  <c r="T24" i="3"/>
  <c r="S24" i="3"/>
  <c r="Q24" i="3"/>
  <c r="O24" i="3"/>
  <c r="Q23" i="3"/>
  <c r="P23" i="3"/>
  <c r="O23" i="3"/>
  <c r="T23" i="3"/>
  <c r="S23" i="3"/>
  <c r="Q21" i="3"/>
  <c r="Q20" i="3"/>
  <c r="Q19" i="3"/>
  <c r="Q18" i="3"/>
  <c r="Q16" i="3"/>
  <c r="Q15" i="3"/>
  <c r="Q14" i="3"/>
  <c r="Q13" i="3"/>
  <c r="Q11" i="3"/>
  <c r="Q10" i="3"/>
  <c r="Q9" i="3"/>
  <c r="Q8" i="3"/>
  <c r="Q6" i="3"/>
  <c r="Q5" i="3"/>
  <c r="Q4" i="3"/>
  <c r="Q3" i="3"/>
  <c r="P20" i="3"/>
  <c r="P18" i="3"/>
  <c r="P16" i="3"/>
  <c r="P15" i="3"/>
  <c r="P14" i="3"/>
  <c r="P13" i="3"/>
  <c r="P11" i="3"/>
  <c r="P10" i="3"/>
  <c r="P9" i="3"/>
  <c r="P8" i="3"/>
  <c r="P5" i="3"/>
  <c r="F7" i="2"/>
  <c r="P4" i="3"/>
  <c r="P3" i="3"/>
  <c r="O21" i="3"/>
  <c r="S20" i="3"/>
  <c r="O20" i="3"/>
  <c r="O19" i="3"/>
  <c r="S18" i="3"/>
  <c r="O18" i="3"/>
  <c r="K27" i="2"/>
  <c r="U16" i="3"/>
  <c r="J27" i="2"/>
  <c r="T16" i="3"/>
  <c r="H27" i="2"/>
  <c r="R16" i="3"/>
  <c r="O16" i="3"/>
  <c r="K26" i="2"/>
  <c r="U15" i="3"/>
  <c r="J26" i="2"/>
  <c r="T15" i="3"/>
  <c r="S15" i="3"/>
  <c r="H26" i="2"/>
  <c r="R15" i="3"/>
  <c r="O15" i="3"/>
  <c r="K24" i="2"/>
  <c r="U14" i="3"/>
  <c r="J24" i="2"/>
  <c r="T14" i="3"/>
  <c r="H24" i="2"/>
  <c r="R14" i="3"/>
  <c r="O14" i="3"/>
  <c r="K23" i="2"/>
  <c r="U13" i="3"/>
  <c r="J23" i="2"/>
  <c r="T13" i="3"/>
  <c r="S13" i="3"/>
  <c r="H23" i="2"/>
  <c r="R13" i="3"/>
  <c r="O13" i="3"/>
  <c r="K18" i="2"/>
  <c r="U11" i="3"/>
  <c r="J18" i="2"/>
  <c r="T11" i="3"/>
  <c r="H18" i="2"/>
  <c r="R11" i="3"/>
  <c r="O11" i="3"/>
  <c r="K17" i="2"/>
  <c r="U10" i="3"/>
  <c r="J17" i="2"/>
  <c r="T10" i="3"/>
  <c r="S10" i="3"/>
  <c r="H17" i="2"/>
  <c r="R10" i="3"/>
  <c r="O10" i="3"/>
  <c r="K15" i="2"/>
  <c r="U9" i="3"/>
  <c r="J15" i="2"/>
  <c r="T9" i="3"/>
  <c r="H15" i="2"/>
  <c r="R9" i="3"/>
  <c r="O9" i="3"/>
  <c r="K14" i="2"/>
  <c r="U8" i="3"/>
  <c r="J14" i="2"/>
  <c r="T8" i="3"/>
  <c r="S8" i="3"/>
  <c r="H14" i="2"/>
  <c r="R8" i="3"/>
  <c r="O8" i="3"/>
  <c r="K10" i="2"/>
  <c r="U6" i="3"/>
  <c r="J10" i="2"/>
  <c r="T6" i="3"/>
  <c r="H10" i="2"/>
  <c r="R6" i="3"/>
  <c r="O6" i="3"/>
  <c r="K9" i="2"/>
  <c r="U5" i="3"/>
  <c r="J9" i="2"/>
  <c r="T5" i="3"/>
  <c r="S5" i="3"/>
  <c r="H9" i="2"/>
  <c r="R5" i="3"/>
  <c r="O5" i="3"/>
  <c r="K7" i="2"/>
  <c r="U4" i="3"/>
  <c r="J7" i="2"/>
  <c r="T4" i="3"/>
  <c r="H7" i="2"/>
  <c r="R4" i="3"/>
  <c r="O4" i="3"/>
  <c r="K6" i="2"/>
  <c r="U3" i="3"/>
  <c r="H6" i="2"/>
  <c r="R3" i="3"/>
  <c r="Q50" i="1"/>
  <c r="S49" i="1"/>
  <c r="O3" i="3"/>
  <c r="B6" i="1"/>
  <c r="O90" i="2"/>
  <c r="X36" i="2"/>
  <c r="X35" i="2"/>
  <c r="X29" i="2"/>
  <c r="X28" i="2"/>
  <c r="X24" i="2"/>
  <c r="X23" i="2"/>
  <c r="U35" i="3"/>
  <c r="X18" i="2"/>
  <c r="U31" i="3"/>
  <c r="X17" i="2"/>
  <c r="U30" i="3"/>
  <c r="X15" i="2"/>
  <c r="X14" i="2"/>
  <c r="X10" i="2"/>
  <c r="U26" i="3"/>
  <c r="X9" i="2"/>
  <c r="U25" i="3"/>
  <c r="X7" i="2"/>
  <c r="U24" i="3"/>
  <c r="X6" i="2"/>
  <c r="U23" i="3"/>
  <c r="K35" i="2"/>
  <c r="U21" i="3"/>
  <c r="K34" i="2"/>
  <c r="U20" i="3"/>
  <c r="K32" i="2"/>
  <c r="U19" i="3"/>
  <c r="K31" i="2"/>
  <c r="U18" i="3"/>
  <c r="R36" i="2"/>
  <c r="R29" i="2"/>
  <c r="R24" i="2"/>
  <c r="R18" i="2"/>
  <c r="P31" i="3"/>
  <c r="R15" i="2"/>
  <c r="P26" i="3"/>
  <c r="R7" i="2"/>
  <c r="P24" i="3"/>
  <c r="F35" i="2"/>
  <c r="P21" i="3"/>
  <c r="F32" i="2"/>
  <c r="P19" i="3"/>
  <c r="G34" i="6"/>
  <c r="I19" i="3"/>
  <c r="I18" i="3"/>
  <c r="U22" i="5"/>
  <c r="L22" i="5"/>
  <c r="AM21" i="5"/>
  <c r="O103" i="2"/>
  <c r="B9" i="1"/>
  <c r="O100" i="2"/>
  <c r="B8" i="1"/>
  <c r="O95" i="2"/>
  <c r="B7" i="1"/>
  <c r="O93" i="2"/>
  <c r="J6" i="2"/>
  <c r="T3" i="3"/>
  <c r="O106" i="2"/>
  <c r="AL23" i="5"/>
  <c r="AL21" i="5"/>
  <c r="AK22" i="5"/>
  <c r="AJ23" i="5"/>
  <c r="AJ21" i="5"/>
  <c r="D7" i="3"/>
  <c r="D6" i="3"/>
  <c r="D5" i="3"/>
  <c r="D4" i="3"/>
  <c r="D3" i="3"/>
  <c r="W23" i="5"/>
  <c r="N23" i="5"/>
  <c r="V22" i="5"/>
  <c r="M22" i="5"/>
  <c r="AI21" i="5"/>
  <c r="AH21" i="5"/>
  <c r="O17" i="6"/>
  <c r="P17" i="6"/>
  <c r="I19" i="6"/>
  <c r="M33" i="5"/>
  <c r="C36" i="6"/>
  <c r="Z23" i="5"/>
  <c r="Q23" i="5"/>
  <c r="Y23" i="5"/>
  <c r="P23" i="5"/>
  <c r="X23" i="5"/>
  <c r="O23" i="5"/>
  <c r="V23" i="5"/>
  <c r="M23" i="5"/>
  <c r="Z22" i="5"/>
  <c r="Q22" i="5"/>
  <c r="Y22" i="5"/>
  <c r="P22" i="5"/>
  <c r="X22" i="5"/>
  <c r="O22" i="5"/>
  <c r="W22" i="5"/>
  <c r="N22" i="5"/>
  <c r="S23" i="5"/>
  <c r="T23" i="5"/>
  <c r="E23" i="5"/>
  <c r="S22" i="5"/>
  <c r="T22" i="5"/>
  <c r="E22" i="5"/>
  <c r="C23" i="5"/>
  <c r="L11" i="5"/>
  <c r="L10" i="5"/>
  <c r="D11" i="5"/>
  <c r="D10" i="5"/>
  <c r="B9" i="5"/>
  <c r="AF15" i="5"/>
  <c r="AH15" i="5"/>
  <c r="AI15" i="5"/>
  <c r="AJ15" i="5"/>
  <c r="AK15" i="5"/>
  <c r="AL15" i="5"/>
  <c r="AM15" i="5"/>
  <c r="AF22" i="5"/>
  <c r="AH22" i="5"/>
  <c r="AI22" i="5"/>
  <c r="AJ22" i="5"/>
  <c r="AL22" i="5"/>
  <c r="AF23" i="5"/>
  <c r="AH23" i="5"/>
  <c r="AI23" i="5"/>
  <c r="AK23" i="5"/>
  <c r="T36" i="2"/>
  <c r="R44" i="3"/>
  <c r="T35" i="2"/>
  <c r="R43" i="3"/>
  <c r="T29" i="2"/>
  <c r="R39" i="3"/>
  <c r="T28" i="2"/>
  <c r="R38" i="3"/>
  <c r="T24" i="2"/>
  <c r="R36" i="3"/>
  <c r="T23" i="2"/>
  <c r="R35" i="3"/>
  <c r="T18" i="2"/>
  <c r="R31" i="3"/>
  <c r="T17" i="2"/>
  <c r="R30" i="3"/>
  <c r="T15" i="2"/>
  <c r="R29" i="3"/>
  <c r="T14" i="2"/>
  <c r="R28" i="3"/>
  <c r="T10" i="2"/>
  <c r="R26" i="3"/>
  <c r="T9" i="2"/>
  <c r="R25" i="3"/>
  <c r="H35" i="2"/>
  <c r="R21" i="3"/>
  <c r="H34" i="2"/>
  <c r="R20" i="3"/>
  <c r="H32" i="2"/>
  <c r="R19" i="3"/>
  <c r="H31" i="2"/>
  <c r="R18" i="3"/>
  <c r="T7" i="2"/>
  <c r="R24" i="3"/>
  <c r="T6" i="2"/>
  <c r="R23" i="3"/>
  <c r="U75" i="2"/>
  <c r="U83" i="2"/>
  <c r="U82" i="2"/>
  <c r="U79" i="2"/>
  <c r="Q79" i="2"/>
  <c r="S79" i="2"/>
  <c r="U78" i="2"/>
  <c r="Q78" i="2"/>
  <c r="R78" i="2"/>
  <c r="S78" i="2"/>
  <c r="U74" i="2"/>
  <c r="Q74" i="2"/>
  <c r="R74" i="2"/>
  <c r="S74" i="2"/>
  <c r="Q75" i="2"/>
  <c r="S75" i="2"/>
  <c r="U70" i="2"/>
  <c r="U71" i="2"/>
  <c r="Q82" i="2"/>
  <c r="R82" i="2"/>
  <c r="S82" i="2"/>
  <c r="Q83" i="2"/>
  <c r="S83" i="2"/>
  <c r="V28" i="2"/>
  <c r="V29" i="2"/>
  <c r="U29" i="2"/>
  <c r="V35" i="2"/>
  <c r="V23" i="2"/>
  <c r="V18" i="2"/>
  <c r="V17" i="2"/>
  <c r="V14" i="2"/>
  <c r="Q71" i="2"/>
  <c r="S71" i="2"/>
  <c r="Q70" i="2"/>
  <c r="R70" i="2"/>
  <c r="S70" i="2"/>
  <c r="T68" i="2"/>
  <c r="M61" i="2"/>
  <c r="Y61" i="2"/>
  <c r="M62" i="2"/>
  <c r="Y62" i="2"/>
  <c r="M63" i="2"/>
  <c r="Y63" i="2"/>
  <c r="M65" i="2"/>
  <c r="Y65" i="2"/>
  <c r="M66" i="2"/>
  <c r="Y66" i="2"/>
  <c r="M67" i="2"/>
  <c r="Y67" i="2"/>
  <c r="U24" i="2"/>
  <c r="V24" i="2"/>
  <c r="J34" i="2"/>
  <c r="T20" i="3"/>
  <c r="I35" i="2"/>
  <c r="S21" i="3"/>
  <c r="J35" i="2"/>
  <c r="T21" i="3"/>
  <c r="J31" i="2"/>
  <c r="T18" i="3"/>
  <c r="I32" i="2"/>
  <c r="S19" i="3"/>
  <c r="J32" i="2"/>
  <c r="T19" i="3"/>
  <c r="U36" i="2"/>
  <c r="CM76" i="2"/>
  <c r="CM75" i="2"/>
  <c r="CM73" i="2"/>
  <c r="CI76" i="2"/>
  <c r="CI75" i="2"/>
  <c r="CI73" i="2"/>
  <c r="CE76" i="2"/>
  <c r="CE75" i="2"/>
  <c r="CE73" i="2"/>
  <c r="CA76" i="2"/>
  <c r="CA75" i="2"/>
  <c r="CA73" i="2"/>
  <c r="BW76" i="2"/>
  <c r="BW75" i="2"/>
  <c r="BW73" i="2"/>
  <c r="BS76" i="2"/>
  <c r="BS75" i="2"/>
  <c r="BS73" i="2"/>
  <c r="BO76" i="2"/>
  <c r="BO75" i="2"/>
  <c r="BO73" i="2"/>
  <c r="BK76" i="2"/>
  <c r="BK75" i="2"/>
  <c r="BK73" i="2"/>
  <c r="BG76" i="2"/>
  <c r="BG75" i="2"/>
  <c r="BG73" i="2"/>
  <c r="BC76" i="2"/>
  <c r="BC75" i="2"/>
  <c r="BC73" i="2"/>
  <c r="AY76" i="2"/>
  <c r="AY75" i="2"/>
  <c r="AY73" i="2"/>
  <c r="AE76" i="2"/>
  <c r="AE75" i="2"/>
  <c r="AE73" i="2"/>
  <c r="AI76" i="2"/>
  <c r="AI75" i="2"/>
  <c r="AI73" i="2"/>
  <c r="AM76" i="2"/>
  <c r="AM75" i="2"/>
  <c r="AM73" i="2"/>
  <c r="AQ76" i="2"/>
  <c r="AQ75" i="2"/>
  <c r="AQ73" i="2"/>
  <c r="AU76" i="2"/>
  <c r="AU75" i="2"/>
  <c r="AU73" i="2"/>
  <c r="CM59" i="2"/>
  <c r="CM58" i="2"/>
  <c r="CM56" i="2"/>
  <c r="CI59" i="2"/>
  <c r="CI58" i="2"/>
  <c r="CI56" i="2"/>
  <c r="CE59" i="2"/>
  <c r="CE58" i="2"/>
  <c r="CE56" i="2"/>
  <c r="CA59" i="2"/>
  <c r="CA58" i="2"/>
  <c r="CA56" i="2"/>
  <c r="BW59" i="2"/>
  <c r="BW58" i="2"/>
  <c r="BW56" i="2"/>
  <c r="BS59" i="2"/>
  <c r="BS58" i="2"/>
  <c r="BS56" i="2"/>
  <c r="BO59" i="2"/>
  <c r="BO58" i="2"/>
  <c r="BO56" i="2"/>
  <c r="BK59" i="2"/>
  <c r="BK58" i="2"/>
  <c r="BK56" i="2"/>
  <c r="BG59" i="2"/>
  <c r="BG58" i="2"/>
  <c r="BG56" i="2"/>
  <c r="BC59" i="2"/>
  <c r="BC58" i="2"/>
  <c r="BC56" i="2"/>
  <c r="AY59" i="2"/>
  <c r="AY58" i="2"/>
  <c r="AY56" i="2"/>
  <c r="AU59" i="2"/>
  <c r="AU58" i="2"/>
  <c r="AU56" i="2"/>
  <c r="AQ59" i="2"/>
  <c r="AQ58" i="2"/>
  <c r="AQ56" i="2"/>
  <c r="AM59" i="2"/>
  <c r="AM58" i="2"/>
  <c r="AM56" i="2"/>
  <c r="AI59" i="2"/>
  <c r="AI58" i="2"/>
  <c r="AI56" i="2"/>
  <c r="AE59" i="2"/>
  <c r="AE58" i="2"/>
  <c r="AE56" i="2"/>
  <c r="U10" i="2"/>
  <c r="V10" i="2"/>
  <c r="V9" i="2"/>
  <c r="U7" i="2"/>
  <c r="V7" i="2"/>
  <c r="V6" i="2"/>
  <c r="I18" i="2"/>
  <c r="S11" i="3"/>
  <c r="I15" i="2"/>
  <c r="S9" i="3"/>
  <c r="I10" i="2"/>
  <c r="S6" i="3"/>
  <c r="I7" i="2"/>
  <c r="S4" i="3"/>
  <c r="S4" i="1"/>
  <c r="S10" i="1"/>
  <c r="S11" i="1"/>
  <c r="S12" i="1"/>
  <c r="S3" i="3"/>
  <c r="B16" i="3"/>
  <c r="B17" i="3"/>
  <c r="EZ51" i="2"/>
  <c r="EZ50" i="2"/>
  <c r="EZ49" i="2"/>
  <c r="FE42" i="2"/>
  <c r="FF42" i="2"/>
  <c r="FL42" i="2" s="1"/>
  <c r="FK42" i="2" s="1"/>
  <c r="FG42" i="2"/>
  <c r="FH42" i="2"/>
  <c r="FI42" i="2"/>
  <c r="FJ42" i="2"/>
  <c r="FE43" i="2"/>
  <c r="FF43" i="2"/>
  <c r="FL43" i="2" s="1"/>
  <c r="FG43" i="2"/>
  <c r="FH43" i="2"/>
  <c r="FI43" i="2"/>
  <c r="FJ43" i="2"/>
  <c r="ER9" i="2"/>
  <c r="C5" i="3"/>
  <c r="B13" i="3"/>
  <c r="B12" i="3"/>
  <c r="EZ44" i="2"/>
  <c r="EZ48" i="2"/>
  <c r="EZ45" i="2"/>
  <c r="EZ47" i="2"/>
  <c r="EZ46" i="2"/>
  <c r="ES26" i="2"/>
  <c r="ET26" i="2"/>
  <c r="EU26" i="2"/>
  <c r="EV26" i="2"/>
  <c r="ER26" i="2"/>
  <c r="I27" i="2"/>
  <c r="S16" i="3"/>
  <c r="I24" i="2"/>
  <c r="S14" i="3"/>
  <c r="AI88" i="2"/>
  <c r="AM88" i="2"/>
  <c r="AQ88" i="2"/>
  <c r="AU88" i="2"/>
  <c r="AY88" i="2"/>
  <c r="BC88" i="2"/>
  <c r="BG88" i="2"/>
  <c r="BK88" i="2"/>
  <c r="U18" i="2"/>
  <c r="BO88" i="2"/>
  <c r="U15" i="2"/>
  <c r="BS88" i="2"/>
  <c r="BW88" i="2"/>
  <c r="CA88" i="2"/>
  <c r="CE88" i="2"/>
  <c r="CI88" i="2"/>
  <c r="CM88" i="2"/>
  <c r="CQ86" i="2"/>
  <c r="CQ71" i="2"/>
  <c r="AE88" i="2"/>
  <c r="CQ74" i="2"/>
  <c r="CQ73" i="2"/>
  <c r="CQ90" i="2"/>
  <c r="CQ88" i="2"/>
  <c r="CM92" i="2"/>
  <c r="CM90" i="2"/>
  <c r="CI92" i="2"/>
  <c r="CI90" i="2"/>
  <c r="CE92" i="2"/>
  <c r="CE90" i="2"/>
  <c r="CA92" i="2"/>
  <c r="CA90" i="2"/>
  <c r="BW92" i="2"/>
  <c r="BW90" i="2"/>
  <c r="BS92" i="2"/>
  <c r="BS90" i="2"/>
  <c r="BO92" i="2"/>
  <c r="BO90" i="2"/>
  <c r="BK92" i="2"/>
  <c r="BK90" i="2"/>
  <c r="BG92" i="2"/>
  <c r="BG90" i="2"/>
  <c r="BC92" i="2"/>
  <c r="BC90" i="2"/>
  <c r="AY92" i="2"/>
  <c r="AY90" i="2"/>
  <c r="AU92" i="2"/>
  <c r="AU90" i="2"/>
  <c r="AQ92" i="2"/>
  <c r="AQ90" i="2"/>
  <c r="AM92" i="2"/>
  <c r="AM90" i="2"/>
  <c r="AI92" i="2"/>
  <c r="AI90" i="2"/>
  <c r="AE92" i="2"/>
  <c r="AE90" i="2"/>
  <c r="BF86" i="2"/>
  <c r="BG86" i="2"/>
  <c r="BB86" i="2"/>
  <c r="BC86" i="2"/>
  <c r="AD86" i="2"/>
  <c r="AE86" i="2"/>
  <c r="AH86" i="2"/>
  <c r="AI86" i="2"/>
  <c r="AP86" i="2"/>
  <c r="AQ86" i="2"/>
  <c r="AT86" i="2"/>
  <c r="AU86" i="2"/>
  <c r="AL86" i="2"/>
  <c r="AM86" i="2"/>
  <c r="AX86" i="2"/>
  <c r="AY86" i="2"/>
  <c r="O105" i="2"/>
  <c r="Q105" i="2"/>
  <c r="V15" i="2"/>
  <c r="V36" i="2"/>
  <c r="DY37" i="2"/>
  <c r="EE37" i="2"/>
  <c r="DN39" i="2"/>
  <c r="DN38" i="2"/>
  <c r="EE39" i="2"/>
  <c r="DN35" i="2"/>
  <c r="DN34" i="2"/>
  <c r="EE40" i="2"/>
  <c r="DN36" i="2"/>
  <c r="EE36" i="2"/>
  <c r="EE41" i="2"/>
  <c r="DN37" i="2"/>
  <c r="DK37" i="2"/>
  <c r="DG39" i="2"/>
  <c r="DK35" i="2"/>
  <c r="CY36" i="2"/>
  <c r="DG36" i="2"/>
  <c r="DH36" i="2"/>
  <c r="DI38" i="2"/>
  <c r="CY34" i="2"/>
  <c r="DI39" i="2"/>
  <c r="DY34" i="2"/>
  <c r="DH37" i="2"/>
  <c r="DG38" i="2"/>
  <c r="DG34" i="2"/>
  <c r="DG35" i="2"/>
  <c r="DB39" i="2"/>
  <c r="DH41" i="2"/>
  <c r="DG37" i="2"/>
  <c r="DB36" i="2"/>
  <c r="DI34" i="2"/>
  <c r="DA38" i="2"/>
  <c r="DY36" i="2"/>
  <c r="DH35" i="2"/>
  <c r="DI36" i="2"/>
  <c r="DH40" i="2"/>
  <c r="DB35" i="2"/>
  <c r="DB37" i="2"/>
  <c r="DI37" i="2"/>
  <c r="DY35" i="2"/>
  <c r="DH34" i="2"/>
  <c r="DA34" i="2"/>
  <c r="DB38" i="2"/>
  <c r="DK38" i="2"/>
  <c r="DA36" i="2"/>
  <c r="DB34" i="2"/>
  <c r="DI35" i="2"/>
  <c r="DK36" i="2"/>
  <c r="DK34" i="2"/>
  <c r="B15" i="3"/>
  <c r="B14" i="3"/>
  <c r="U44" i="3"/>
  <c r="T83" i="2"/>
  <c r="V83" i="2"/>
  <c r="L83" i="2"/>
  <c r="U43" i="3"/>
  <c r="T82" i="2"/>
  <c r="V82" i="2"/>
  <c r="L82" i="2"/>
  <c r="U39" i="3"/>
  <c r="T79" i="2"/>
  <c r="V79" i="2"/>
  <c r="L79" i="2"/>
  <c r="U38" i="3"/>
  <c r="T78" i="2"/>
  <c r="V78" i="2"/>
  <c r="L78" i="2"/>
  <c r="U36" i="3"/>
  <c r="T75" i="2"/>
  <c r="V75" i="2"/>
  <c r="L75" i="2"/>
  <c r="T74" i="2"/>
  <c r="V74" i="2"/>
  <c r="L74" i="2"/>
  <c r="EE16" i="2"/>
  <c r="U29" i="3"/>
  <c r="T71" i="2"/>
  <c r="V71" i="2"/>
  <c r="L71" i="2"/>
  <c r="U28" i="3"/>
  <c r="T70" i="2"/>
  <c r="V70" i="2"/>
  <c r="L70" i="2"/>
  <c r="P44" i="3"/>
  <c r="R83" i="2"/>
  <c r="P39" i="3"/>
  <c r="R79" i="2"/>
  <c r="P36" i="3"/>
  <c r="R75" i="2"/>
  <c r="P29" i="3"/>
  <c r="R71" i="2"/>
  <c r="U23" i="5"/>
  <c r="L23" i="5"/>
  <c r="AM23" i="5"/>
  <c r="R49" i="1"/>
  <c r="G17" i="1"/>
  <c r="AM22" i="5"/>
  <c r="EE17" i="2"/>
  <c r="O96" i="2"/>
  <c r="O94" i="2"/>
  <c r="C22" i="5"/>
  <c r="O99" i="2"/>
  <c r="O98" i="2"/>
  <c r="O65" i="2"/>
  <c r="O92" i="2"/>
  <c r="O62" i="2"/>
  <c r="AG23" i="5"/>
  <c r="O91" i="2"/>
  <c r="AG22" i="5"/>
  <c r="O61" i="2"/>
  <c r="O89" i="2"/>
  <c r="F15" i="6"/>
  <c r="Q17" i="6"/>
  <c r="C44" i="6"/>
  <c r="S15" i="1"/>
  <c r="Q5" i="1"/>
  <c r="A3" i="2"/>
  <c r="U21" i="5"/>
  <c r="L21" i="5" s="1"/>
  <c r="R105" i="2"/>
  <c r="O67" i="2"/>
  <c r="T67" i="2"/>
  <c r="X21" i="5"/>
  <c r="O21" i="5"/>
  <c r="O63" i="2"/>
  <c r="O66" i="2"/>
  <c r="H106" i="2"/>
  <c r="G106" i="2"/>
  <c r="O116" i="2"/>
  <c r="R106" i="2"/>
  <c r="R116" i="2" s="1"/>
  <c r="P106" i="2"/>
  <c r="P116" i="2" s="1"/>
  <c r="F106" i="2"/>
  <c r="S106" i="2"/>
  <c r="S116" i="2"/>
  <c r="Q106" i="2"/>
  <c r="Q116" i="2"/>
  <c r="O104" i="2"/>
  <c r="Q104" i="2"/>
  <c r="O102" i="2"/>
  <c r="O101" i="2"/>
  <c r="O97" i="2"/>
  <c r="Y21" i="5"/>
  <c r="P21" i="5" s="1"/>
  <c r="P105" i="2"/>
  <c r="Z21" i="5"/>
  <c r="Q21" i="5"/>
  <c r="W21" i="5"/>
  <c r="N21" i="5"/>
  <c r="V21" i="5"/>
  <c r="M21" i="5"/>
  <c r="C106" i="2"/>
  <c r="O115" i="2"/>
  <c r="C103" i="2"/>
  <c r="C100" i="2"/>
  <c r="O114" i="2"/>
  <c r="D106" i="2"/>
  <c r="E106" i="2"/>
  <c r="DF38" i="2"/>
  <c r="DJ38" i="2"/>
  <c r="DJ36" i="2"/>
  <c r="EC34" i="2"/>
  <c r="DJ34" i="2"/>
  <c r="DL37" i="2"/>
  <c r="DL36" i="2"/>
  <c r="DL34" i="2"/>
  <c r="P14" i="2"/>
  <c r="P70" i="2"/>
  <c r="P71" i="2"/>
  <c r="DL38" i="2"/>
  <c r="DJ35" i="2"/>
  <c r="DJ39" i="2"/>
  <c r="DL41" i="2"/>
  <c r="DE36" i="2"/>
  <c r="C94" i="2"/>
  <c r="O112" i="2"/>
  <c r="M18" i="2"/>
  <c r="O18" i="2" s="1"/>
  <c r="M31" i="3" s="1"/>
  <c r="C21" i="2"/>
  <c r="L13" i="3"/>
  <c r="DF34" i="2"/>
  <c r="CZ38" i="2"/>
  <c r="DE38" i="2"/>
  <c r="DL40" i="2"/>
  <c r="DL35" i="2"/>
  <c r="CZ34" i="2"/>
  <c r="EE38" i="2"/>
  <c r="EC35" i="2"/>
  <c r="DL39" i="2"/>
  <c r="DF36" i="2"/>
  <c r="DJ37" i="2"/>
  <c r="CZ36" i="2"/>
  <c r="DE34" i="2"/>
  <c r="P67" i="2"/>
  <c r="S67" i="2"/>
  <c r="P104" i="2"/>
  <c r="Q67" i="2"/>
  <c r="D17" i="2"/>
  <c r="N10" i="3"/>
  <c r="D23" i="2"/>
  <c r="N13" i="3"/>
  <c r="C91" i="2"/>
  <c r="O111" i="2"/>
  <c r="AZ2" i="2"/>
  <c r="BA2" i="2"/>
  <c r="AZ39" i="2"/>
  <c r="BB39" i="2"/>
  <c r="M7" i="2"/>
  <c r="O7" i="2" s="1"/>
  <c r="M24" i="3" s="1"/>
  <c r="P17" i="2"/>
  <c r="N30" i="3"/>
  <c r="D14" i="2"/>
  <c r="N8" i="3"/>
  <c r="D34" i="2"/>
  <c r="N20" i="3"/>
  <c r="P35" i="2"/>
  <c r="P82" i="2"/>
  <c r="P83" i="2"/>
  <c r="P28" i="2"/>
  <c r="P78" i="2"/>
  <c r="P79" i="2"/>
  <c r="A35" i="2"/>
  <c r="EP39" i="2"/>
  <c r="FI39" i="2"/>
  <c r="EU39" i="2" s="1"/>
  <c r="BX2" i="2"/>
  <c r="BY2" i="2"/>
  <c r="BX6" i="2"/>
  <c r="BZ6" i="2"/>
  <c r="A9" i="2"/>
  <c r="AN2" i="2"/>
  <c r="AO2" i="2"/>
  <c r="M24" i="2"/>
  <c r="M10" i="2"/>
  <c r="O10" i="2"/>
  <c r="M26" i="3" s="1"/>
  <c r="C12" i="2"/>
  <c r="L8" i="3"/>
  <c r="M35" i="2"/>
  <c r="M82" i="2" s="1"/>
  <c r="A31" i="2"/>
  <c r="C31" i="2"/>
  <c r="M18" i="3"/>
  <c r="M21" i="2"/>
  <c r="O3" i="2"/>
  <c r="L23" i="3" s="1"/>
  <c r="CJ2" i="2"/>
  <c r="CK2" i="2"/>
  <c r="CJ39" i="2"/>
  <c r="CL39" i="2"/>
  <c r="M28" i="2"/>
  <c r="M78" i="2"/>
  <c r="O12" i="2"/>
  <c r="L28" i="3" s="1"/>
  <c r="AJ2" i="2"/>
  <c r="AK2" i="2"/>
  <c r="C29" i="2"/>
  <c r="L18" i="3"/>
  <c r="A6" i="2"/>
  <c r="M14" i="2"/>
  <c r="AV2" i="2"/>
  <c r="AW2" i="2"/>
  <c r="EP41" i="2"/>
  <c r="FF41" i="2"/>
  <c r="AF2" i="2"/>
  <c r="AG2" i="2"/>
  <c r="EQ45" i="2"/>
  <c r="M29" i="2"/>
  <c r="O29" i="2" s="1"/>
  <c r="EP37" i="2"/>
  <c r="FF37" i="2"/>
  <c r="M15" i="2"/>
  <c r="O15" i="2" s="1"/>
  <c r="A32" i="2"/>
  <c r="A10" i="2"/>
  <c r="M9" i="2"/>
  <c r="O9" i="2" s="1"/>
  <c r="M25" i="3" s="1"/>
  <c r="BH2" i="2"/>
  <c r="BI2" i="2"/>
  <c r="BH26" i="2"/>
  <c r="BJ26" i="2"/>
  <c r="BP2" i="2"/>
  <c r="BQ2" i="2"/>
  <c r="BP6" i="2"/>
  <c r="BR6" i="2"/>
  <c r="M26" i="2"/>
  <c r="M37" i="3"/>
  <c r="AR2" i="2"/>
  <c r="AS2" i="2"/>
  <c r="BD2" i="2"/>
  <c r="BE2" i="2"/>
  <c r="BD17" i="2"/>
  <c r="BF17" i="2"/>
  <c r="M33" i="2"/>
  <c r="M42" i="3"/>
  <c r="M36" i="2"/>
  <c r="M83" i="2" s="1"/>
  <c r="M17" i="2"/>
  <c r="O17" i="2"/>
  <c r="M30" i="3"/>
  <c r="A34" i="2"/>
  <c r="EP40" i="2"/>
  <c r="BL2" i="2"/>
  <c r="BM2" i="2"/>
  <c r="BL88" i="2"/>
  <c r="BN88" i="2" s="1"/>
  <c r="BN89" i="2" s="1"/>
  <c r="EP36" i="2"/>
  <c r="FG36" i="2"/>
  <c r="ES36" i="2" s="1"/>
  <c r="BT2" i="2"/>
  <c r="BU2" i="2"/>
  <c r="BT56" i="2"/>
  <c r="BV56" i="2" s="1"/>
  <c r="BV57" i="2" s="1"/>
  <c r="BT61" i="2"/>
  <c r="A7" i="2"/>
  <c r="AB2" i="2"/>
  <c r="AC2" i="2"/>
  <c r="M6" i="2"/>
  <c r="O6" i="2"/>
  <c r="M23" i="2"/>
  <c r="EP38" i="2"/>
  <c r="FG38" i="2"/>
  <c r="FL38" i="2" s="1"/>
  <c r="FK38" i="2" s="1"/>
  <c r="EY38" i="2" s="1"/>
  <c r="EO38" i="2" s="1"/>
  <c r="EN38" i="2" s="1"/>
  <c r="ES38" i="2"/>
  <c r="CB2" i="2"/>
  <c r="CC2" i="2"/>
  <c r="CB70" i="2"/>
  <c r="CD70" i="2"/>
  <c r="C3" i="2"/>
  <c r="L3" i="3"/>
  <c r="CF2" i="2"/>
  <c r="CG2" i="2"/>
  <c r="CF7" i="2"/>
  <c r="CH7" i="2"/>
  <c r="FF39" i="2"/>
  <c r="ER39" i="2" s="1"/>
  <c r="R67" i="2"/>
  <c r="R104" i="2"/>
  <c r="X67" i="2"/>
  <c r="C97" i="2"/>
  <c r="O113" i="2"/>
  <c r="A106" i="2"/>
  <c r="D9" i="2"/>
  <c r="N5" i="3"/>
  <c r="D26" i="2"/>
  <c r="N15" i="3"/>
  <c r="D6" i="2"/>
  <c r="N3" i="3"/>
  <c r="D31" i="2"/>
  <c r="N18" i="3"/>
  <c r="P6" i="2"/>
  <c r="N23" i="3"/>
  <c r="P23" i="2"/>
  <c r="P74" i="2"/>
  <c r="P75" i="2"/>
  <c r="P9" i="2"/>
  <c r="N25" i="3"/>
  <c r="FJ40" i="2"/>
  <c r="EV40" i="2"/>
  <c r="FI40" i="2"/>
  <c r="EU40" i="2"/>
  <c r="AV59" i="2"/>
  <c r="AX59" i="2"/>
  <c r="AX60" i="2"/>
  <c r="AV8" i="2"/>
  <c r="AX8" i="2" s="1"/>
  <c r="AV28" i="2"/>
  <c r="AX28" i="2"/>
  <c r="EQ49" i="2"/>
  <c r="FH39" i="2"/>
  <c r="ET39" i="2"/>
  <c r="FI36" i="2"/>
  <c r="EU36" i="2"/>
  <c r="AV25" i="2"/>
  <c r="AX25" i="2"/>
  <c r="FH38" i="2"/>
  <c r="ET38" i="2"/>
  <c r="FF38" i="2"/>
  <c r="C34" i="2"/>
  <c r="M20" i="3"/>
  <c r="ER6" i="2"/>
  <c r="DF12" i="2"/>
  <c r="C35" i="2"/>
  <c r="M21" i="3"/>
  <c r="ER8" i="2"/>
  <c r="C32" i="2"/>
  <c r="AF42" i="2"/>
  <c r="AH42" i="2"/>
  <c r="ER5" i="2"/>
  <c r="DF17" i="2"/>
  <c r="CJ17" i="2"/>
  <c r="CL17" i="2"/>
  <c r="BX24" i="2"/>
  <c r="BZ24" i="2"/>
  <c r="FG41" i="2"/>
  <c r="ES41" i="2"/>
  <c r="CJ44" i="2"/>
  <c r="CL44" i="2" s="1"/>
  <c r="AV70" i="2"/>
  <c r="AX70" i="2" s="1"/>
  <c r="AY70" i="2" s="1"/>
  <c r="EQ28" i="2"/>
  <c r="AV4" i="2"/>
  <c r="AX4" i="2"/>
  <c r="AV18" i="2"/>
  <c r="AX18" i="2"/>
  <c r="AV17" i="2"/>
  <c r="AX17" i="2"/>
  <c r="AV33" i="2"/>
  <c r="AV58" i="2"/>
  <c r="AX58" i="2"/>
  <c r="AV44" i="2"/>
  <c r="AX44" i="2"/>
  <c r="AV76" i="2"/>
  <c r="AX76" i="2"/>
  <c r="AX77" i="2" s="1"/>
  <c r="AV85" i="2"/>
  <c r="AX85" i="2"/>
  <c r="AY85" i="2"/>
  <c r="AX87" i="2" s="1"/>
  <c r="AV73" i="2"/>
  <c r="AX73" i="2"/>
  <c r="AX74" i="2" s="1"/>
  <c r="AV41" i="2"/>
  <c r="AX41" i="2"/>
  <c r="AV6" i="2"/>
  <c r="AX6" i="2"/>
  <c r="AV75" i="2"/>
  <c r="AX75" i="2"/>
  <c r="AV27" i="2"/>
  <c r="AX27" i="2" s="1"/>
  <c r="AV35" i="2" s="1"/>
  <c r="AV19" i="2"/>
  <c r="AX19" i="2"/>
  <c r="AV42" i="2"/>
  <c r="AX42" i="2"/>
  <c r="AV23" i="2"/>
  <c r="AX23" i="2"/>
  <c r="AF115" i="2"/>
  <c r="BX27" i="2"/>
  <c r="BZ27" i="2"/>
  <c r="CB43" i="2"/>
  <c r="CD43" i="2"/>
  <c r="BL44" i="2"/>
  <c r="BN44" i="2"/>
  <c r="BL7" i="2"/>
  <c r="BN7" i="2"/>
  <c r="BL39" i="2"/>
  <c r="BN39" i="2"/>
  <c r="BT7" i="2"/>
  <c r="BV7" i="2"/>
  <c r="BL70" i="2"/>
  <c r="BN70" i="2"/>
  <c r="BO70" i="2"/>
  <c r="BL18" i="2"/>
  <c r="BN18" i="2"/>
  <c r="BL25" i="2"/>
  <c r="BN25" i="2"/>
  <c r="BL73" i="2"/>
  <c r="BN73" i="2" s="1"/>
  <c r="BN74" i="2" s="1"/>
  <c r="BL78" i="2"/>
  <c r="BL42" i="2"/>
  <c r="BN42" i="2"/>
  <c r="BL5" i="2"/>
  <c r="BN5" i="2"/>
  <c r="BL86" i="2"/>
  <c r="BN86" i="2" s="1"/>
  <c r="BO86" i="2" s="1"/>
  <c r="BL27" i="2"/>
  <c r="BN27" i="2"/>
  <c r="FJ41" i="2"/>
  <c r="EV41" i="2" s="1"/>
  <c r="FI38" i="2"/>
  <c r="EU38" i="2"/>
  <c r="FJ38" i="2"/>
  <c r="EV38" i="2" s="1"/>
  <c r="FH41" i="2"/>
  <c r="FH36" i="2"/>
  <c r="ET36" i="2" s="1"/>
  <c r="FH40" i="2"/>
  <c r="ET40" i="2"/>
  <c r="FE41" i="2"/>
  <c r="EQ41" i="2" s="1"/>
  <c r="O28" i="2"/>
  <c r="FI41" i="2"/>
  <c r="EU41" i="2" s="1"/>
  <c r="BX70" i="2"/>
  <c r="BZ70" i="2"/>
  <c r="CA70" i="2"/>
  <c r="BX90" i="2"/>
  <c r="BZ90" i="2" s="1"/>
  <c r="BX94" i="2"/>
  <c r="BX15" i="2"/>
  <c r="BZ15" i="2"/>
  <c r="N28" i="3"/>
  <c r="BL4" i="2"/>
  <c r="BN4" i="2"/>
  <c r="C10" i="2"/>
  <c r="M6" i="3"/>
  <c r="EQ9" i="2"/>
  <c r="C9" i="2"/>
  <c r="M5" i="3"/>
  <c r="EQ8" i="2"/>
  <c r="N43" i="3"/>
  <c r="C6" i="2"/>
  <c r="EQ5" i="2"/>
  <c r="C7" i="2"/>
  <c r="M4" i="3"/>
  <c r="EQ6" i="2"/>
  <c r="AV39" i="2"/>
  <c r="AX39" i="2"/>
  <c r="AV88" i="2"/>
  <c r="AX88" i="2" s="1"/>
  <c r="AX89" i="2" s="1"/>
  <c r="AV16" i="2"/>
  <c r="AX16" i="2"/>
  <c r="AV15" i="2"/>
  <c r="AX15" i="2"/>
  <c r="CJ90" i="2"/>
  <c r="CL90" i="2"/>
  <c r="CJ94" i="2"/>
  <c r="CJ41" i="2"/>
  <c r="CL41" i="2"/>
  <c r="AV56" i="2"/>
  <c r="AX56" i="2"/>
  <c r="AX57" i="2"/>
  <c r="AV61" i="2"/>
  <c r="AV40" i="2"/>
  <c r="AX40" i="2"/>
  <c r="FE40" i="2"/>
  <c r="EQ40" i="2"/>
  <c r="CF42" i="2"/>
  <c r="CH42" i="2"/>
  <c r="BL6" i="2"/>
  <c r="BN6" i="2"/>
  <c r="FE38" i="2"/>
  <c r="EQ38" i="2"/>
  <c r="BL24" i="2"/>
  <c r="BN24" i="2"/>
  <c r="BL3" i="2"/>
  <c r="BN3" i="2"/>
  <c r="CB4" i="2"/>
  <c r="CD4" i="2"/>
  <c r="CF3" i="2"/>
  <c r="CH3" i="2"/>
  <c r="FG40" i="2"/>
  <c r="ES40" i="2"/>
  <c r="BL15" i="2"/>
  <c r="BN15" i="2"/>
  <c r="BL17" i="2"/>
  <c r="BN17" i="2"/>
  <c r="BP92" i="2"/>
  <c r="BR92" i="2"/>
  <c r="BR93" i="2" s="1"/>
  <c r="CF70" i="2"/>
  <c r="CH70" i="2"/>
  <c r="CI70" i="2"/>
  <c r="FF40" i="2"/>
  <c r="ER40" i="2" s="1"/>
  <c r="CF58" i="2"/>
  <c r="BL53" i="2"/>
  <c r="BN53" i="2" s="1"/>
  <c r="BX42" i="2"/>
  <c r="BZ42" i="2"/>
  <c r="BP44" i="2"/>
  <c r="BR44" i="2" s="1"/>
  <c r="BX8" i="2"/>
  <c r="BZ8" i="2"/>
  <c r="BX44" i="2"/>
  <c r="BZ44" i="2" s="1"/>
  <c r="BX26" i="2"/>
  <c r="BZ26" i="2"/>
  <c r="BP28" i="2"/>
  <c r="BR28" i="2" s="1"/>
  <c r="BP27" i="2"/>
  <c r="BR27" i="2"/>
  <c r="BP40" i="2"/>
  <c r="BR40" i="2"/>
  <c r="BX5" i="2"/>
  <c r="BZ5" i="2"/>
  <c r="BX3" i="2"/>
  <c r="BZ3" i="2"/>
  <c r="BX73" i="2"/>
  <c r="BZ73" i="2"/>
  <c r="BZ74" i="2"/>
  <c r="BX78" i="2" s="1"/>
  <c r="BX39" i="2"/>
  <c r="BZ39" i="2"/>
  <c r="BP17" i="2"/>
  <c r="BR17" i="2"/>
  <c r="BP42" i="2"/>
  <c r="BR42" i="2"/>
  <c r="BX16" i="2"/>
  <c r="BZ16" i="2"/>
  <c r="BX40" i="2"/>
  <c r="BZ40" i="2"/>
  <c r="BX88" i="2"/>
  <c r="BX20" i="2"/>
  <c r="BZ20" i="2" s="1"/>
  <c r="BP4" i="2"/>
  <c r="BR4" i="2"/>
  <c r="BX56" i="2"/>
  <c r="BZ56" i="2"/>
  <c r="BZ57" i="2"/>
  <c r="BX61" i="2" s="1"/>
  <c r="BX4" i="2"/>
  <c r="BZ4" i="2"/>
  <c r="BX85" i="2"/>
  <c r="BZ85" i="2" s="1"/>
  <c r="BX41" i="2"/>
  <c r="BZ41" i="2"/>
  <c r="BP75" i="2"/>
  <c r="BR75" i="2" s="1"/>
  <c r="AZ92" i="2"/>
  <c r="BB92" i="2"/>
  <c r="BB93" i="2"/>
  <c r="BX25" i="2"/>
  <c r="BZ25" i="2"/>
  <c r="AZ5" i="2"/>
  <c r="BB5" i="2"/>
  <c r="BX18" i="2"/>
  <c r="BZ18" i="2"/>
  <c r="BX58" i="2"/>
  <c r="BZ58" i="2"/>
  <c r="BX75" i="2"/>
  <c r="BZ75" i="2" s="1"/>
  <c r="BP23" i="2"/>
  <c r="BR23" i="2"/>
  <c r="BX76" i="2"/>
  <c r="BZ76" i="2" s="1"/>
  <c r="BZ77" i="2"/>
  <c r="BX103" i="2" s="1"/>
  <c r="BX86" i="2"/>
  <c r="BZ86" i="2" s="1"/>
  <c r="CA86" i="2" s="1"/>
  <c r="BX59" i="2"/>
  <c r="BZ59" i="2"/>
  <c r="BZ60" i="2" s="1"/>
  <c r="BX92" i="2"/>
  <c r="BZ92" i="2"/>
  <c r="BZ93" i="2"/>
  <c r="BX19" i="2"/>
  <c r="BZ19" i="2" s="1"/>
  <c r="BX7" i="2"/>
  <c r="BZ7" i="2" s="1"/>
  <c r="EQ33" i="2"/>
  <c r="AZ43" i="2"/>
  <c r="BB43" i="2"/>
  <c r="AZ85" i="2"/>
  <c r="BB85" i="2" s="1"/>
  <c r="BC85" i="2" s="1"/>
  <c r="BB87" i="2"/>
  <c r="AZ73" i="2"/>
  <c r="BB73" i="2" s="1"/>
  <c r="BB74" i="2" s="1"/>
  <c r="AZ78" i="2"/>
  <c r="AZ88" i="2"/>
  <c r="BB88" i="2" s="1"/>
  <c r="BB89" i="2" s="1"/>
  <c r="CB41" i="2"/>
  <c r="CD41" i="2"/>
  <c r="AZ24" i="2"/>
  <c r="BB24" i="2"/>
  <c r="FJ37" i="2"/>
  <c r="EV37" i="2"/>
  <c r="BH85" i="2"/>
  <c r="BJ85" i="2" s="1"/>
  <c r="AZ15" i="2"/>
  <c r="BB15" i="2"/>
  <c r="AZ7" i="2"/>
  <c r="BB7" i="2" s="1"/>
  <c r="CB18" i="2"/>
  <c r="CD18" i="2"/>
  <c r="BH18" i="2"/>
  <c r="BJ18" i="2"/>
  <c r="BH34" i="2"/>
  <c r="FG39" i="2"/>
  <c r="ES39" i="2" s="1"/>
  <c r="AZ53" i="2"/>
  <c r="BB53" i="2"/>
  <c r="BC53" i="2"/>
  <c r="AZ41" i="2"/>
  <c r="BB41" i="2"/>
  <c r="EQ50" i="2"/>
  <c r="AZ44" i="2"/>
  <c r="BB44" i="2" s="1"/>
  <c r="AZ59" i="2"/>
  <c r="BB59" i="2"/>
  <c r="BB60" i="2"/>
  <c r="AZ25" i="2"/>
  <c r="BB25" i="2"/>
  <c r="AZ6" i="2"/>
  <c r="BB6" i="2"/>
  <c r="BH15" i="2"/>
  <c r="BJ15" i="2"/>
  <c r="FJ39" i="2"/>
  <c r="EV39" i="2"/>
  <c r="AZ28" i="2"/>
  <c r="BB28" i="2" s="1"/>
  <c r="AZ90" i="2"/>
  <c r="BB90" i="2"/>
  <c r="AZ94" i="2" s="1"/>
  <c r="AZ20" i="2"/>
  <c r="BB20" i="2"/>
  <c r="BB21" i="2" s="1"/>
  <c r="BC13" i="2" s="1"/>
  <c r="AZ70" i="2"/>
  <c r="BB70" i="2" s="1"/>
  <c r="AZ40" i="2"/>
  <c r="BB40" i="2"/>
  <c r="AZ3" i="2"/>
  <c r="BB3" i="2"/>
  <c r="FE39" i="2"/>
  <c r="EQ39" i="2"/>
  <c r="AZ56" i="2"/>
  <c r="BB56" i="2"/>
  <c r="BB57" i="2" s="1"/>
  <c r="AZ61" i="2" s="1"/>
  <c r="CB20" i="2"/>
  <c r="CD20" i="2" s="1"/>
  <c r="CB36" i="2" s="1"/>
  <c r="CJ75" i="2"/>
  <c r="CL75" i="2"/>
  <c r="AZ76" i="2"/>
  <c r="BB76" i="2" s="1"/>
  <c r="BB77" i="2" s="1"/>
  <c r="AZ18" i="2"/>
  <c r="BB18" i="2"/>
  <c r="AZ16" i="2"/>
  <c r="BB16" i="2"/>
  <c r="AZ8" i="2"/>
  <c r="BB8" i="2"/>
  <c r="AZ27" i="2"/>
  <c r="BB27" i="2" s="1"/>
  <c r="AZ17" i="2"/>
  <c r="BB17" i="2"/>
  <c r="AZ23" i="2"/>
  <c r="BB23" i="2"/>
  <c r="AZ75" i="2"/>
  <c r="BB75" i="2"/>
  <c r="CB5" i="2"/>
  <c r="CD5" i="2"/>
  <c r="AZ19" i="2"/>
  <c r="BB19" i="2"/>
  <c r="AZ4" i="2"/>
  <c r="BB4" i="2"/>
  <c r="CB90" i="2"/>
  <c r="CD90" i="2"/>
  <c r="CB94" i="2"/>
  <c r="CJ3" i="2"/>
  <c r="CL3" i="2"/>
  <c r="AZ26" i="2"/>
  <c r="BB26" i="2"/>
  <c r="AZ58" i="2"/>
  <c r="BB58" i="2"/>
  <c r="AZ42" i="2"/>
  <c r="BB42" i="2"/>
  <c r="BT17" i="2"/>
  <c r="BV17" i="2"/>
  <c r="M79" i="2"/>
  <c r="CB73" i="2"/>
  <c r="CD73" i="2" s="1"/>
  <c r="CD74" i="2" s="1"/>
  <c r="CB78" i="2"/>
  <c r="CB92" i="2"/>
  <c r="CD92" i="2" s="1"/>
  <c r="CD93" i="2" s="1"/>
  <c r="BD4" i="2"/>
  <c r="BF4" i="2"/>
  <c r="N38" i="3"/>
  <c r="AF114" i="2"/>
  <c r="CF20" i="2"/>
  <c r="CH20" i="2"/>
  <c r="BP59" i="2"/>
  <c r="BR59" i="2"/>
  <c r="BR60" i="2"/>
  <c r="BP73" i="2"/>
  <c r="BR73" i="2" s="1"/>
  <c r="BR74" i="2" s="1"/>
  <c r="BP78" i="2"/>
  <c r="BX17" i="2"/>
  <c r="BZ17" i="2"/>
  <c r="BX23" i="2"/>
  <c r="BZ23" i="2"/>
  <c r="BX43" i="2"/>
  <c r="BZ43" i="2" s="1"/>
  <c r="BX53" i="2"/>
  <c r="BZ53" i="2"/>
  <c r="BX28" i="2"/>
  <c r="BZ28" i="2" s="1"/>
  <c r="BD92" i="2"/>
  <c r="BF92" i="2"/>
  <c r="BF93" i="2"/>
  <c r="BD85" i="2"/>
  <c r="BF85" i="2"/>
  <c r="BG85" i="2"/>
  <c r="BF87" i="2"/>
  <c r="BD5" i="2"/>
  <c r="BF5" i="2"/>
  <c r="BD39" i="2"/>
  <c r="BF39" i="2"/>
  <c r="BD88" i="2"/>
  <c r="BD70" i="2"/>
  <c r="BF70" i="2"/>
  <c r="BD27" i="2"/>
  <c r="BF27" i="2" s="1"/>
  <c r="BD15" i="2"/>
  <c r="BF15" i="2"/>
  <c r="BD59" i="2"/>
  <c r="BF59" i="2" s="1"/>
  <c r="BF60" i="2" s="1"/>
  <c r="BD23" i="2"/>
  <c r="BF23" i="2"/>
  <c r="BD40" i="2"/>
  <c r="BF40" i="2"/>
  <c r="BD24" i="2"/>
  <c r="BF24" i="2"/>
  <c r="BD16" i="2"/>
  <c r="BF16" i="2"/>
  <c r="BD42" i="2"/>
  <c r="BF42" i="2"/>
  <c r="BD41" i="2"/>
  <c r="BF41" i="2"/>
  <c r="BD26" i="2"/>
  <c r="BF26" i="2"/>
  <c r="BD28" i="2"/>
  <c r="BF28" i="2" s="1"/>
  <c r="BD20" i="2"/>
  <c r="BF20" i="2"/>
  <c r="BD3" i="2"/>
  <c r="BF3" i="2"/>
  <c r="BD18" i="2"/>
  <c r="BF18" i="2"/>
  <c r="BD73" i="2"/>
  <c r="BF73" i="2" s="1"/>
  <c r="BF74" i="2" s="1"/>
  <c r="BD78" i="2" s="1"/>
  <c r="BD76" i="2"/>
  <c r="BF76" i="2" s="1"/>
  <c r="BF77" i="2"/>
  <c r="EQ34" i="2"/>
  <c r="BD90" i="2"/>
  <c r="BF90" i="2" s="1"/>
  <c r="BD94" i="2"/>
  <c r="EQ51" i="2"/>
  <c r="BD25" i="2"/>
  <c r="BF25" i="2"/>
  <c r="BD33" i="2"/>
  <c r="O36" i="2"/>
  <c r="M71" i="2"/>
  <c r="CB39" i="2"/>
  <c r="CD39" i="2"/>
  <c r="BD43" i="2"/>
  <c r="BF43" i="2"/>
  <c r="BH8" i="2"/>
  <c r="BJ8" i="2" s="1"/>
  <c r="BH4" i="2"/>
  <c r="BJ4" i="2"/>
  <c r="CB16" i="2"/>
  <c r="CD16" i="2"/>
  <c r="CB15" i="2"/>
  <c r="CD15" i="2"/>
  <c r="FJ36" i="2"/>
  <c r="EV36" i="2" s="1"/>
  <c r="FE37" i="2"/>
  <c r="EQ37" i="2"/>
  <c r="CB28" i="2"/>
  <c r="CD28" i="2" s="1"/>
  <c r="CJ23" i="2"/>
  <c r="CL23" i="2"/>
  <c r="CF40" i="2"/>
  <c r="CH40" i="2"/>
  <c r="CF43" i="2"/>
  <c r="CH43" i="2"/>
  <c r="CF25" i="2"/>
  <c r="CH25" i="2"/>
  <c r="CF8" i="2"/>
  <c r="CH8" i="2"/>
  <c r="CF85" i="2"/>
  <c r="CH85" i="2" s="1"/>
  <c r="CF86" i="2"/>
  <c r="CH86" i="2"/>
  <c r="CI86" i="2"/>
  <c r="CI85" i="2" s="1"/>
  <c r="CH87" i="2" s="1"/>
  <c r="CF73" i="2"/>
  <c r="CH73" i="2"/>
  <c r="CH74" i="2"/>
  <c r="CF78" i="2"/>
  <c r="CF19" i="2"/>
  <c r="CH19" i="2" s="1"/>
  <c r="CF15" i="2"/>
  <c r="CH15" i="2"/>
  <c r="CF39" i="2"/>
  <c r="CH39" i="2"/>
  <c r="CF44" i="2"/>
  <c r="CH44" i="2"/>
  <c r="CF41" i="2"/>
  <c r="CH41" i="2"/>
  <c r="CF5" i="2"/>
  <c r="CH5" i="2"/>
  <c r="CF92" i="2"/>
  <c r="CH92" i="2" s="1"/>
  <c r="CF28" i="2"/>
  <c r="CH28" i="2"/>
  <c r="CF56" i="2"/>
  <c r="CH56" i="2" s="1"/>
  <c r="CH57" i="2"/>
  <c r="CF61" i="2" s="1"/>
  <c r="CF75" i="2"/>
  <c r="CF27" i="2"/>
  <c r="CH27" i="2"/>
  <c r="CF76" i="2"/>
  <c r="CH76" i="2" s="1"/>
  <c r="CH77" i="2" s="1"/>
  <c r="CF24" i="2"/>
  <c r="CH24" i="2"/>
  <c r="CF88" i="2"/>
  <c r="CF4" i="2"/>
  <c r="CH4" i="2"/>
  <c r="CF90" i="2"/>
  <c r="CH90" i="2" s="1"/>
  <c r="CF94" i="2" s="1"/>
  <c r="CF18" i="2"/>
  <c r="CH18" i="2"/>
  <c r="CF6" i="2"/>
  <c r="CH6" i="2"/>
  <c r="CF16" i="2"/>
  <c r="CH16" i="2"/>
  <c r="CF53" i="2"/>
  <c r="CH53" i="2" s="1"/>
  <c r="CF59" i="2"/>
  <c r="CH59" i="2"/>
  <c r="CH60" i="2" s="1"/>
  <c r="CF23" i="2"/>
  <c r="CH23" i="2"/>
  <c r="CF26" i="2"/>
  <c r="CH26" i="2"/>
  <c r="AF111" i="2"/>
  <c r="AB42" i="2"/>
  <c r="AD42" i="2"/>
  <c r="AB18" i="2"/>
  <c r="AD18" i="2"/>
  <c r="AB26" i="2"/>
  <c r="AD26" i="2"/>
  <c r="EQ44" i="2"/>
  <c r="AB6" i="2"/>
  <c r="AD6" i="2"/>
  <c r="EQ27" i="2"/>
  <c r="EQ46" i="2"/>
  <c r="AF113" i="2"/>
  <c r="EQ29" i="2"/>
  <c r="O35" i="2"/>
  <c r="AR88" i="2" s="1"/>
  <c r="BD44" i="2"/>
  <c r="BF44" i="2"/>
  <c r="O23" i="2"/>
  <c r="CB44" i="2"/>
  <c r="CD44" i="2"/>
  <c r="FE36" i="2"/>
  <c r="EQ36" i="2"/>
  <c r="CB8" i="2"/>
  <c r="CD8" i="2"/>
  <c r="FG37" i="2"/>
  <c r="ES37" i="2"/>
  <c r="CB26" i="2"/>
  <c r="CD26" i="2"/>
  <c r="CB42" i="2"/>
  <c r="CD42" i="2"/>
  <c r="CB3" i="2"/>
  <c r="CD3" i="2"/>
  <c r="BD7" i="2"/>
  <c r="BF7" i="2"/>
  <c r="BT86" i="2"/>
  <c r="BV86" i="2"/>
  <c r="BW86" i="2"/>
  <c r="CJ76" i="2"/>
  <c r="CL76" i="2" s="1"/>
  <c r="CL77" i="2" s="1"/>
  <c r="CJ86" i="2"/>
  <c r="CL86" i="2"/>
  <c r="CM86" i="2" s="1"/>
  <c r="CJ19" i="2"/>
  <c r="CL19" i="2"/>
  <c r="CL21" i="2" s="1"/>
  <c r="CJ101" i="2" s="1"/>
  <c r="CL101" i="2" s="1"/>
  <c r="CJ18" i="2"/>
  <c r="CL18" i="2"/>
  <c r="CJ92" i="2"/>
  <c r="CL92" i="2"/>
  <c r="CL93" i="2" s="1"/>
  <c r="CJ24" i="2"/>
  <c r="CL24" i="2"/>
  <c r="CJ88" i="2"/>
  <c r="CJ7" i="2"/>
  <c r="CL7" i="2" s="1"/>
  <c r="CJ16" i="2"/>
  <c r="CL16" i="2"/>
  <c r="CJ4" i="2"/>
  <c r="CL4" i="2"/>
  <c r="CJ56" i="2"/>
  <c r="CL56" i="2"/>
  <c r="CL57" i="2"/>
  <c r="CJ61" i="2" s="1"/>
  <c r="CJ43" i="2"/>
  <c r="CL43" i="2"/>
  <c r="CJ73" i="2"/>
  <c r="CL73" i="2" s="1"/>
  <c r="CL74" i="2" s="1"/>
  <c r="CJ78" i="2" s="1"/>
  <c r="CJ25" i="2"/>
  <c r="CL25" i="2"/>
  <c r="CJ53" i="2"/>
  <c r="CL53" i="2"/>
  <c r="CJ5" i="2"/>
  <c r="CL5" i="2"/>
  <c r="CJ70" i="2"/>
  <c r="CL70" i="2"/>
  <c r="CJ58" i="2"/>
  <c r="CJ20" i="2"/>
  <c r="CL20" i="2" s="1"/>
  <c r="CJ40" i="2"/>
  <c r="CL40" i="2"/>
  <c r="CJ6" i="2"/>
  <c r="CL6" i="2"/>
  <c r="CJ28" i="2"/>
  <c r="CL28" i="2"/>
  <c r="CJ26" i="2"/>
  <c r="CL26" i="2"/>
  <c r="BP15" i="2"/>
  <c r="BR15" i="2"/>
  <c r="BP3" i="2"/>
  <c r="BR3" i="2"/>
  <c r="BP8" i="2"/>
  <c r="BR8" i="2"/>
  <c r="BP85" i="2"/>
  <c r="BR85" i="2" s="1"/>
  <c r="BP39" i="2"/>
  <c r="BR39" i="2"/>
  <c r="BP18" i="2"/>
  <c r="BR18" i="2"/>
  <c r="BP16" i="2"/>
  <c r="BR16" i="2"/>
  <c r="BP5" i="2"/>
  <c r="BR5" i="2"/>
  <c r="BP25" i="2"/>
  <c r="BR25" i="2"/>
  <c r="BP53" i="2"/>
  <c r="BR53" i="2" s="1"/>
  <c r="BP88" i="2"/>
  <c r="BP7" i="2"/>
  <c r="BR7" i="2"/>
  <c r="BR9" i="2" s="1"/>
  <c r="BP90" i="2"/>
  <c r="BR90" i="2"/>
  <c r="BP94" i="2"/>
  <c r="BP24" i="2"/>
  <c r="BR24" i="2"/>
  <c r="BP20" i="2"/>
  <c r="BR20" i="2"/>
  <c r="BP58" i="2"/>
  <c r="BP26" i="2"/>
  <c r="BR26" i="2"/>
  <c r="BP19" i="2"/>
  <c r="BR19" i="2"/>
  <c r="BP41" i="2"/>
  <c r="BR41" i="2"/>
  <c r="BP86" i="2"/>
  <c r="BR86" i="2"/>
  <c r="BS86" i="2" s="1"/>
  <c r="BS85" i="2" s="1"/>
  <c r="BR87" i="2" s="1"/>
  <c r="BP43" i="2"/>
  <c r="BR43" i="2" s="1"/>
  <c r="BP70" i="2"/>
  <c r="BR70" i="2"/>
  <c r="BP76" i="2"/>
  <c r="BR76" i="2" s="1"/>
  <c r="BR77" i="2" s="1"/>
  <c r="AV26" i="2"/>
  <c r="AX26" i="2"/>
  <c r="AV90" i="2"/>
  <c r="AX90" i="2"/>
  <c r="AV94" i="2"/>
  <c r="AV5" i="2"/>
  <c r="AX5" i="2"/>
  <c r="AV43" i="2"/>
  <c r="AX43" i="2"/>
  <c r="AV53" i="2"/>
  <c r="AX53" i="2" s="1"/>
  <c r="AV24" i="2"/>
  <c r="AX24" i="2"/>
  <c r="AV20" i="2"/>
  <c r="AX20" i="2" s="1"/>
  <c r="EQ32" i="2"/>
  <c r="AV92" i="2"/>
  <c r="AX92" i="2" s="1"/>
  <c r="AX93" i="2" s="1"/>
  <c r="AV7" i="2"/>
  <c r="AX7" i="2"/>
  <c r="AV3" i="2"/>
  <c r="AX3" i="2"/>
  <c r="BD8" i="2"/>
  <c r="BF8" i="2"/>
  <c r="FF36" i="2"/>
  <c r="ER36" i="2"/>
  <c r="M74" i="2"/>
  <c r="EQ47" i="2"/>
  <c r="CB24" i="2"/>
  <c r="CD24" i="2"/>
  <c r="BT90" i="2"/>
  <c r="CB76" i="2"/>
  <c r="CD76" i="2"/>
  <c r="CD77" i="2"/>
  <c r="CB103" i="2" s="1"/>
  <c r="CD103" i="2" s="1"/>
  <c r="BD58" i="2"/>
  <c r="BF58" i="2" s="1"/>
  <c r="FH37" i="2"/>
  <c r="ET37" i="2"/>
  <c r="CJ59" i="2"/>
  <c r="CL59" i="2" s="1"/>
  <c r="CL60" i="2" s="1"/>
  <c r="BD53" i="2"/>
  <c r="BF53" i="2"/>
  <c r="BF55" i="2"/>
  <c r="CB23" i="2"/>
  <c r="CD23" i="2"/>
  <c r="CB58" i="2"/>
  <c r="CB27" i="2"/>
  <c r="CD27" i="2" s="1"/>
  <c r="CB86" i="2"/>
  <c r="CD86" i="2"/>
  <c r="CE86" i="2"/>
  <c r="CB40" i="2"/>
  <c r="CD40" i="2"/>
  <c r="CB56" i="2"/>
  <c r="CD56" i="2"/>
  <c r="CD57" i="2" s="1"/>
  <c r="CB61" i="2" s="1"/>
  <c r="BH27" i="2"/>
  <c r="BJ27" i="2"/>
  <c r="BH70" i="2"/>
  <c r="BJ70" i="2"/>
  <c r="BH28" i="2"/>
  <c r="BJ28" i="2"/>
  <c r="BH92" i="2"/>
  <c r="BJ92" i="2"/>
  <c r="BH53" i="2"/>
  <c r="BJ53" i="2"/>
  <c r="BH56" i="2"/>
  <c r="BJ56" i="2"/>
  <c r="BJ57" i="2"/>
  <c r="BH61" i="2"/>
  <c r="BH59" i="2"/>
  <c r="BJ59" i="2"/>
  <c r="BJ60" i="2"/>
  <c r="BH42" i="2"/>
  <c r="BJ42" i="2"/>
  <c r="BH23" i="2"/>
  <c r="BJ23" i="2"/>
  <c r="BH75" i="2"/>
  <c r="BH58" i="2"/>
  <c r="BH39" i="2"/>
  <c r="BJ39" i="2"/>
  <c r="BH90" i="2"/>
  <c r="BH17" i="2"/>
  <c r="BJ17" i="2"/>
  <c r="BH76" i="2"/>
  <c r="BJ76" i="2"/>
  <c r="BJ77" i="2"/>
  <c r="BH19" i="2"/>
  <c r="BJ19" i="2" s="1"/>
  <c r="BH25" i="2"/>
  <c r="BJ25" i="2"/>
  <c r="BH73" i="2"/>
  <c r="BJ73" i="2" s="1"/>
  <c r="BJ74" i="2" s="1"/>
  <c r="BH78" i="2" s="1"/>
  <c r="BH16" i="2"/>
  <c r="BJ16" i="2"/>
  <c r="BH24" i="2"/>
  <c r="BJ24" i="2"/>
  <c r="BH86" i="2"/>
  <c r="BJ86" i="2" s="1"/>
  <c r="BK86" i="2" s="1"/>
  <c r="BH5" i="2"/>
  <c r="BJ5" i="2"/>
  <c r="BH44" i="2"/>
  <c r="BJ44" i="2"/>
  <c r="BH40" i="2"/>
  <c r="BJ40" i="2"/>
  <c r="BH43" i="2"/>
  <c r="BJ43" i="2"/>
  <c r="BH20" i="2"/>
  <c r="BJ20" i="2"/>
  <c r="BJ21" i="2" s="1"/>
  <c r="BH101" i="2" s="1"/>
  <c r="BJ101" i="2" s="1"/>
  <c r="BH41" i="2"/>
  <c r="BJ41" i="2"/>
  <c r="BH6" i="2"/>
  <c r="BJ6" i="2"/>
  <c r="CB88" i="2"/>
  <c r="CD88" i="2"/>
  <c r="CD89" i="2"/>
  <c r="CB7" i="2"/>
  <c r="CD7" i="2" s="1"/>
  <c r="CD9" i="2" s="1"/>
  <c r="CB85" i="2"/>
  <c r="CD85" i="2"/>
  <c r="BD19" i="2"/>
  <c r="BF19" i="2" s="1"/>
  <c r="FI37" i="2"/>
  <c r="EU37" i="2"/>
  <c r="CB6" i="2"/>
  <c r="CD6" i="2"/>
  <c r="CJ85" i="2"/>
  <c r="CL85" i="2"/>
  <c r="CB53" i="2"/>
  <c r="CD53" i="2" s="1"/>
  <c r="CE53" i="2" s="1"/>
  <c r="CJ8" i="2"/>
  <c r="CL8" i="2"/>
  <c r="BH3" i="2"/>
  <c r="BJ3" i="2"/>
  <c r="CJ27" i="2"/>
  <c r="CL27" i="2"/>
  <c r="BD6" i="2"/>
  <c r="BF6" i="2"/>
  <c r="BP56" i="2"/>
  <c r="BR56" i="2"/>
  <c r="BR57" i="2" s="1"/>
  <c r="O24" i="2"/>
  <c r="M75" i="2"/>
  <c r="BT58" i="2"/>
  <c r="BT15" i="2"/>
  <c r="BV15" i="2"/>
  <c r="BT5" i="2"/>
  <c r="BV5" i="2"/>
  <c r="BT76" i="2"/>
  <c r="BV76" i="2" s="1"/>
  <c r="BV77" i="2" s="1"/>
  <c r="BT92" i="2"/>
  <c r="BV92" i="2"/>
  <c r="BT39" i="2"/>
  <c r="BV39" i="2"/>
  <c r="BT20" i="2"/>
  <c r="BV20" i="2"/>
  <c r="BT23" i="2"/>
  <c r="BV23" i="2"/>
  <c r="BT85" i="2"/>
  <c r="BV85" i="2"/>
  <c r="BT53" i="2"/>
  <c r="BV53" i="2"/>
  <c r="BT75" i="2"/>
  <c r="BT40" i="2"/>
  <c r="BV40" i="2"/>
  <c r="BT41" i="2"/>
  <c r="BV41" i="2"/>
  <c r="BT88" i="2"/>
  <c r="BV88" i="2" s="1"/>
  <c r="BV89" i="2" s="1"/>
  <c r="BT43" i="2"/>
  <c r="BV43" i="2"/>
  <c r="BV45" i="2" s="1"/>
  <c r="BT50" i="2" s="1"/>
  <c r="BT4" i="2"/>
  <c r="BV4" i="2"/>
  <c r="BT25" i="2"/>
  <c r="BV25" i="2"/>
  <c r="BT44" i="2"/>
  <c r="BV44" i="2"/>
  <c r="BT73" i="2"/>
  <c r="BV73" i="2"/>
  <c r="BV74" i="2" s="1"/>
  <c r="BT6" i="2"/>
  <c r="BV6" i="2"/>
  <c r="BT24" i="2"/>
  <c r="BV24" i="2"/>
  <c r="BT27" i="2"/>
  <c r="BV27" i="2"/>
  <c r="BT16" i="2"/>
  <c r="BV16" i="2"/>
  <c r="BT70" i="2"/>
  <c r="BV70" i="2"/>
  <c r="BT3" i="2"/>
  <c r="BV3" i="2"/>
  <c r="BT8" i="2"/>
  <c r="BV8" i="2"/>
  <c r="BT26" i="2"/>
  <c r="BV26" i="2"/>
  <c r="BT28" i="2"/>
  <c r="BV28" i="2"/>
  <c r="BT18" i="2"/>
  <c r="BV18" i="2"/>
  <c r="BT19" i="2"/>
  <c r="BV19" i="2"/>
  <c r="BT59" i="2"/>
  <c r="BV59" i="2"/>
  <c r="BV60" i="2"/>
  <c r="BL85" i="2"/>
  <c r="BN85" i="2" s="1"/>
  <c r="BL92" i="2"/>
  <c r="BN92" i="2"/>
  <c r="BL19" i="2"/>
  <c r="BN19" i="2" s="1"/>
  <c r="BL35" i="2" s="1"/>
  <c r="BL43" i="2"/>
  <c r="BN43" i="2"/>
  <c r="BL20" i="2"/>
  <c r="BN20" i="2" s="1"/>
  <c r="BL41" i="2"/>
  <c r="BN41" i="2"/>
  <c r="BL75" i="2"/>
  <c r="BL56" i="2"/>
  <c r="BN56" i="2"/>
  <c r="BN57" i="2"/>
  <c r="BL61" i="2" s="1"/>
  <c r="BL76" i="2"/>
  <c r="BN76" i="2"/>
  <c r="BN77" i="2"/>
  <c r="BL58" i="2"/>
  <c r="BL59" i="2"/>
  <c r="BN59" i="2"/>
  <c r="BN60" i="2"/>
  <c r="BL23" i="2"/>
  <c r="BN23" i="2"/>
  <c r="BL8" i="2"/>
  <c r="BN8" i="2"/>
  <c r="BL90" i="2"/>
  <c r="BL16" i="2"/>
  <c r="BN16" i="2"/>
  <c r="BL28" i="2"/>
  <c r="BN28" i="2" s="1"/>
  <c r="BL26" i="2"/>
  <c r="BN26" i="2"/>
  <c r="BL40" i="2"/>
  <c r="BN40" i="2"/>
  <c r="EQ31" i="2"/>
  <c r="EQ48" i="2"/>
  <c r="AF112" i="2"/>
  <c r="M34" i="3"/>
  <c r="CN86" i="2"/>
  <c r="CP86" i="2"/>
  <c r="CP87" i="2"/>
  <c r="CN84" i="2"/>
  <c r="CP84" i="2"/>
  <c r="CQ84" i="2"/>
  <c r="CN88" i="2"/>
  <c r="CP88" i="2" s="1"/>
  <c r="CN92" i="2" s="1"/>
  <c r="CB19" i="2"/>
  <c r="CD19" i="2"/>
  <c r="CB59" i="2"/>
  <c r="CD59" i="2"/>
  <c r="CD60" i="2"/>
  <c r="CB75" i="2"/>
  <c r="BH88" i="2"/>
  <c r="CF17" i="2"/>
  <c r="CH17" i="2"/>
  <c r="CB17" i="2"/>
  <c r="CD17" i="2"/>
  <c r="BT42" i="2"/>
  <c r="BV42" i="2"/>
  <c r="BD56" i="2"/>
  <c r="BF56" i="2"/>
  <c r="BF57" i="2"/>
  <c r="BD61" i="2"/>
  <c r="CJ42" i="2"/>
  <c r="CL42" i="2"/>
  <c r="CB25" i="2"/>
  <c r="CD25" i="2"/>
  <c r="CJ15" i="2"/>
  <c r="CL15" i="2"/>
  <c r="EQ30" i="2"/>
  <c r="BD75" i="2"/>
  <c r="BH7" i="2"/>
  <c r="BJ7" i="2"/>
  <c r="ER37" i="2"/>
  <c r="AF18" i="2"/>
  <c r="AH18" i="2"/>
  <c r="AN6" i="2"/>
  <c r="AP6" i="2"/>
  <c r="AJ42" i="2"/>
  <c r="AL42" i="2"/>
  <c r="AJ26" i="2"/>
  <c r="AL26" i="2"/>
  <c r="AJ6" i="2"/>
  <c r="AL6" i="2"/>
  <c r="AR42" i="2"/>
  <c r="AT42" i="2"/>
  <c r="AF26" i="2"/>
  <c r="AH26" i="2"/>
  <c r="AR26" i="2"/>
  <c r="AT26" i="2"/>
  <c r="AN26" i="2"/>
  <c r="AP26" i="2"/>
  <c r="AJ18" i="2"/>
  <c r="AL18" i="2"/>
  <c r="AN18" i="2"/>
  <c r="AP18" i="2"/>
  <c r="AF6" i="2"/>
  <c r="AH6" i="2"/>
  <c r="AN42" i="2"/>
  <c r="AP42" i="2"/>
  <c r="N35" i="3"/>
  <c r="AR56" i="2"/>
  <c r="AT56" i="2"/>
  <c r="AT57" i="2"/>
  <c r="AR61" i="2" s="1"/>
  <c r="M19" i="3"/>
  <c r="AR6" i="2"/>
  <c r="AT6" i="2"/>
  <c r="AR18" i="2"/>
  <c r="AT18" i="2"/>
  <c r="M38" i="3"/>
  <c r="AV36" i="2"/>
  <c r="ER38" i="2"/>
  <c r="CJ33" i="2"/>
  <c r="O78" i="2"/>
  <c r="AV34" i="2"/>
  <c r="AX72" i="2"/>
  <c r="AR90" i="2"/>
  <c r="AT90" i="2" s="1"/>
  <c r="AR94" i="2" s="1"/>
  <c r="AR39" i="2"/>
  <c r="AT39" i="2"/>
  <c r="AR15" i="2"/>
  <c r="AT15" i="2"/>
  <c r="BL31" i="2"/>
  <c r="BX32" i="2"/>
  <c r="AR58" i="2"/>
  <c r="AR3" i="2"/>
  <c r="AT3" i="2"/>
  <c r="AR59" i="2"/>
  <c r="AT59" i="2"/>
  <c r="AT60" i="2" s="1"/>
  <c r="AR53" i="2"/>
  <c r="AT53" i="2"/>
  <c r="AT55" i="2"/>
  <c r="BL33" i="2"/>
  <c r="AR23" i="2"/>
  <c r="AT23" i="2"/>
  <c r="AB39" i="2"/>
  <c r="AD39" i="2"/>
  <c r="BN72" i="2"/>
  <c r="CH72" i="2"/>
  <c r="BO85" i="2"/>
  <c r="BN87" i="2" s="1"/>
  <c r="BL100" i="2" s="1"/>
  <c r="BN100" i="2" s="1"/>
  <c r="BX35" i="2"/>
  <c r="AV31" i="2"/>
  <c r="AJ39" i="2"/>
  <c r="AL39" i="2"/>
  <c r="AB15" i="2"/>
  <c r="AD15" i="2"/>
  <c r="BB55" i="2"/>
  <c r="BL34" i="2"/>
  <c r="AW64" i="2"/>
  <c r="AW65" i="2"/>
  <c r="AX65" i="2"/>
  <c r="BX31" i="2"/>
  <c r="BZ72" i="2"/>
  <c r="BP31" i="2"/>
  <c r="AJ58" i="2"/>
  <c r="AL58" i="2"/>
  <c r="AN3" i="2"/>
  <c r="AP3" i="2"/>
  <c r="AB3" i="2"/>
  <c r="AD3" i="2"/>
  <c r="AB23" i="2"/>
  <c r="AD23" i="2"/>
  <c r="FL36" i="2"/>
  <c r="FK36" i="2"/>
  <c r="EY36" i="2"/>
  <c r="AF39" i="2"/>
  <c r="AH39" i="2"/>
  <c r="AN39" i="2"/>
  <c r="AP39" i="2"/>
  <c r="AF3" i="2"/>
  <c r="AH3" i="2"/>
  <c r="AJ3" i="2"/>
  <c r="AL3" i="2"/>
  <c r="AJ15" i="2"/>
  <c r="AL15" i="2"/>
  <c r="AN23" i="2"/>
  <c r="AP23" i="2"/>
  <c r="FL39" i="2"/>
  <c r="FK39" i="2"/>
  <c r="EY39" i="2"/>
  <c r="AF15" i="2"/>
  <c r="AH15" i="2"/>
  <c r="AN15" i="2"/>
  <c r="AP15" i="2"/>
  <c r="DJ15" i="2"/>
  <c r="A18" i="2"/>
  <c r="C18" i="2"/>
  <c r="M11" i="3"/>
  <c r="DI17" i="2"/>
  <c r="DN15" i="2"/>
  <c r="DB15" i="2"/>
  <c r="DI15" i="2"/>
  <c r="DJ17" i="2"/>
  <c r="A24" i="2"/>
  <c r="C24" i="2"/>
  <c r="M14" i="3"/>
  <c r="DJ19" i="2"/>
  <c r="A26" i="2"/>
  <c r="C26" i="2"/>
  <c r="M15" i="3"/>
  <c r="DB20" i="2"/>
  <c r="DI12" i="2"/>
  <c r="DN20" i="2"/>
  <c r="DI19" i="2"/>
  <c r="DJ12" i="2"/>
  <c r="A15" i="2"/>
  <c r="C15" i="2"/>
  <c r="M9" i="3"/>
  <c r="AF23" i="2"/>
  <c r="AH23" i="2"/>
  <c r="AJ23" i="2"/>
  <c r="AL23" i="2"/>
  <c r="M3" i="3"/>
  <c r="AV32" i="2"/>
  <c r="BY64" i="2"/>
  <c r="BZ64" i="2"/>
  <c r="AZ34" i="2"/>
  <c r="AZ33" i="2"/>
  <c r="DJ11" i="2"/>
  <c r="A14" i="2"/>
  <c r="C14" i="2"/>
  <c r="DA17" i="2"/>
  <c r="DI16" i="2"/>
  <c r="DB17" i="2"/>
  <c r="DN17" i="2"/>
  <c r="DJ16" i="2"/>
  <c r="A23" i="2"/>
  <c r="C23" i="2"/>
  <c r="DI11" i="2"/>
  <c r="DE17" i="2"/>
  <c r="DJ14" i="2"/>
  <c r="A17" i="2"/>
  <c r="C17" i="2"/>
  <c r="M10" i="3"/>
  <c r="DI20" i="2"/>
  <c r="DB12" i="2"/>
  <c r="DJ20" i="2"/>
  <c r="A27" i="2"/>
  <c r="C27" i="2"/>
  <c r="M16" i="3"/>
  <c r="DA12" i="2"/>
  <c r="DN12" i="2"/>
  <c r="DI14" i="2"/>
  <c r="DE12" i="2"/>
  <c r="BA64" i="2"/>
  <c r="BY81" i="2"/>
  <c r="BZ81" i="2"/>
  <c r="BX106" i="2" s="1"/>
  <c r="BZ106" i="2" s="1"/>
  <c r="AF56" i="2"/>
  <c r="AH56" i="2" s="1"/>
  <c r="AH57" i="2" s="1"/>
  <c r="AX45" i="2"/>
  <c r="AJ90" i="2"/>
  <c r="AL90" i="2"/>
  <c r="AJ94" i="2"/>
  <c r="BD32" i="2"/>
  <c r="FL40" i="2"/>
  <c r="FK40" i="2"/>
  <c r="EY40" i="2"/>
  <c r="AN56" i="2"/>
  <c r="AP56" i="2"/>
  <c r="AP57" i="2"/>
  <c r="AO64" i="2" s="1"/>
  <c r="AN61" i="2"/>
  <c r="AN58" i="2"/>
  <c r="AP58" i="2"/>
  <c r="AB88" i="2"/>
  <c r="AD88" i="2"/>
  <c r="AD89" i="2" s="1"/>
  <c r="AN59" i="2"/>
  <c r="AP59" i="2"/>
  <c r="AP60" i="2"/>
  <c r="AF88" i="2"/>
  <c r="AB56" i="2"/>
  <c r="AD56" i="2"/>
  <c r="AD57" i="2" s="1"/>
  <c r="AB61" i="2" s="1"/>
  <c r="AB53" i="2"/>
  <c r="AD53" i="2"/>
  <c r="AD55" i="2" s="1"/>
  <c r="AE53" i="2"/>
  <c r="M35" i="3"/>
  <c r="AF59" i="2"/>
  <c r="AH59" i="2"/>
  <c r="AH60" i="2"/>
  <c r="AJ59" i="2"/>
  <c r="AL59" i="2" s="1"/>
  <c r="AL60" i="2" s="1"/>
  <c r="AF58" i="2"/>
  <c r="AH58" i="2"/>
  <c r="AF53" i="2"/>
  <c r="AH53" i="2"/>
  <c r="AN53" i="2"/>
  <c r="AP53" i="2"/>
  <c r="AP55" i="2"/>
  <c r="AJ53" i="2"/>
  <c r="AL53" i="2" s="1"/>
  <c r="AM53" i="2"/>
  <c r="AN85" i="2"/>
  <c r="AP85" i="2" s="1"/>
  <c r="AQ85" i="2" s="1"/>
  <c r="AP87" i="2" s="1"/>
  <c r="AJ88" i="2"/>
  <c r="AB58" i="2"/>
  <c r="CF36" i="2"/>
  <c r="AN88" i="2"/>
  <c r="AP88" i="2"/>
  <c r="AP89" i="2" s="1"/>
  <c r="BX34" i="2"/>
  <c r="AJ56" i="2"/>
  <c r="AL56" i="2" s="1"/>
  <c r="AL57" i="2"/>
  <c r="AJ61" i="2" s="1"/>
  <c r="AB59" i="2"/>
  <c r="AD59" i="2" s="1"/>
  <c r="AD60" i="2"/>
  <c r="CG64" i="2"/>
  <c r="CH64" i="2" s="1"/>
  <c r="BN55" i="2"/>
  <c r="BO53" i="2"/>
  <c r="FL37" i="2"/>
  <c r="FK37" i="2" s="1"/>
  <c r="EY37" i="2" s="1"/>
  <c r="CA85" i="2"/>
  <c r="BZ87" i="2"/>
  <c r="BB9" i="2"/>
  <c r="ER50" i="2"/>
  <c r="CC97" i="2"/>
  <c r="CD97" i="2"/>
  <c r="AX21" i="2"/>
  <c r="ES49" i="2"/>
  <c r="BF9" i="2"/>
  <c r="ER51" i="2"/>
  <c r="BP36" i="2"/>
  <c r="CH21" i="2"/>
  <c r="CF35" i="2"/>
  <c r="BZ45" i="2"/>
  <c r="BX50" i="2"/>
  <c r="BZ9" i="2"/>
  <c r="BT33" i="2"/>
  <c r="CH58" i="2"/>
  <c r="BN9" i="2"/>
  <c r="BP33" i="2"/>
  <c r="CD55" i="2"/>
  <c r="BZ103" i="2"/>
  <c r="BZ88" i="2"/>
  <c r="BZ89" i="2" s="1"/>
  <c r="BY97" i="2"/>
  <c r="BZ97" i="2"/>
  <c r="BX33" i="2"/>
  <c r="CB34" i="2"/>
  <c r="BJ9" i="2"/>
  <c r="BJ13" i="2" s="1"/>
  <c r="BH48" i="2" s="1"/>
  <c r="BN45" i="2"/>
  <c r="BL50" i="2" s="1"/>
  <c r="AZ31" i="2"/>
  <c r="BV21" i="2"/>
  <c r="BT101" i="2"/>
  <c r="BV101" i="2" s="1"/>
  <c r="BG53" i="2"/>
  <c r="BC70" i="2"/>
  <c r="BB72" i="2"/>
  <c r="BQ81" i="2"/>
  <c r="BR81" i="2"/>
  <c r="BP106" i="2" s="1"/>
  <c r="BR106" i="2" s="1"/>
  <c r="CK81" i="2"/>
  <c r="CL81" i="2" s="1"/>
  <c r="CJ106" i="2" s="1"/>
  <c r="CL106" i="2" s="1"/>
  <c r="BK85" i="2"/>
  <c r="BJ87" i="2"/>
  <c r="BA81" i="2"/>
  <c r="BB81" i="2"/>
  <c r="AZ106" i="2"/>
  <c r="BB106" i="2"/>
  <c r="EX33" i="2" s="1"/>
  <c r="AZ32" i="2"/>
  <c r="BA97" i="2"/>
  <c r="BB97" i="2" s="1"/>
  <c r="CF33" i="2"/>
  <c r="CH45" i="2"/>
  <c r="CF50" i="2" s="1"/>
  <c r="BR29" i="2"/>
  <c r="BP47" i="2"/>
  <c r="AW97" i="2"/>
  <c r="AX97" i="2"/>
  <c r="CE85" i="2"/>
  <c r="CD87" i="2"/>
  <c r="BH33" i="2"/>
  <c r="BR45" i="2"/>
  <c r="BP50" i="2"/>
  <c r="CL45" i="2"/>
  <c r="CJ50" i="2" s="1"/>
  <c r="CD45" i="2"/>
  <c r="CB50" i="2"/>
  <c r="BZ55" i="2"/>
  <c r="CA53" i="2"/>
  <c r="CB33" i="2"/>
  <c r="BD34" i="2"/>
  <c r="BF21" i="2"/>
  <c r="ES51" i="2" s="1"/>
  <c r="BH32" i="2"/>
  <c r="BE64" i="2"/>
  <c r="BF64" i="2" s="1"/>
  <c r="BD105" i="2" s="1"/>
  <c r="BF105" i="2" s="1"/>
  <c r="EW34" i="2" s="1"/>
  <c r="CJ32" i="2"/>
  <c r="CF34" i="2"/>
  <c r="CH9" i="2"/>
  <c r="CH13" i="2" s="1"/>
  <c r="CF48" i="2" s="1"/>
  <c r="BT36" i="2"/>
  <c r="BW85" i="2"/>
  <c r="BV87" i="2" s="1"/>
  <c r="BZ21" i="2"/>
  <c r="BT32" i="2"/>
  <c r="BM97" i="2"/>
  <c r="BN97" i="2"/>
  <c r="BN90" i="2"/>
  <c r="BL94" i="2" s="1"/>
  <c r="BJ72" i="2"/>
  <c r="BK70" i="2"/>
  <c r="CJ103" i="2"/>
  <c r="CL103" i="2" s="1"/>
  <c r="CB31" i="2"/>
  <c r="BT35" i="2"/>
  <c r="BP32" i="2"/>
  <c r="BF45" i="2"/>
  <c r="BD103" i="2" s="1"/>
  <c r="BF103" i="2" s="1"/>
  <c r="EU34" i="2" s="1"/>
  <c r="AB34" i="2"/>
  <c r="BD36" i="2"/>
  <c r="CH93" i="2"/>
  <c r="CF103" i="2"/>
  <c r="CH103" i="2" s="1"/>
  <c r="M36" i="3"/>
  <c r="O75" i="2"/>
  <c r="BJ58" i="2"/>
  <c r="BI64" i="2"/>
  <c r="CH75" i="2"/>
  <c r="CG81" i="2"/>
  <c r="CH81" i="2" s="1"/>
  <c r="CF106" i="2" s="1"/>
  <c r="CH106" i="2" s="1"/>
  <c r="BD31" i="2"/>
  <c r="BF29" i="2"/>
  <c r="BD47" i="2" s="1"/>
  <c r="ET51" i="2" s="1"/>
  <c r="BJ45" i="2"/>
  <c r="BH50" i="2" s="1"/>
  <c r="CD29" i="2"/>
  <c r="BP103" i="2"/>
  <c r="BR103" i="2" s="1"/>
  <c r="CJ36" i="2"/>
  <c r="BW70" i="2"/>
  <c r="BV72" i="2"/>
  <c r="BV29" i="2"/>
  <c r="BT31" i="2"/>
  <c r="BJ93" i="2"/>
  <c r="BH103" i="2"/>
  <c r="BJ103" i="2" s="1"/>
  <c r="CD58" i="2"/>
  <c r="CC64" i="2"/>
  <c r="BR58" i="2"/>
  <c r="BP102" i="2" s="1"/>
  <c r="BR102" i="2" s="1"/>
  <c r="CM53" i="2"/>
  <c r="CL55" i="2"/>
  <c r="CL88" i="2"/>
  <c r="CL89" i="2" s="1"/>
  <c r="CK97" i="2"/>
  <c r="CL97" i="2"/>
  <c r="CJ105" i="2" s="1"/>
  <c r="CL105" i="2" s="1"/>
  <c r="O83" i="2"/>
  <c r="M44" i="3"/>
  <c r="CJ34" i="2"/>
  <c r="BF75" i="2"/>
  <c r="BE81" i="2"/>
  <c r="BF81" i="2" s="1"/>
  <c r="BD106" i="2" s="1"/>
  <c r="BF106" i="2" s="1"/>
  <c r="EX34" i="2"/>
  <c r="AX55" i="2"/>
  <c r="AY53" i="2"/>
  <c r="BV93" i="2"/>
  <c r="BT103" i="2"/>
  <c r="BV103" i="2" s="1"/>
  <c r="BJ88" i="2"/>
  <c r="BJ89" i="2"/>
  <c r="BN58" i="2"/>
  <c r="BM64" i="2"/>
  <c r="BN64" i="2" s="1"/>
  <c r="BN93" i="2"/>
  <c r="BL103" i="2"/>
  <c r="BN103" i="2"/>
  <c r="BV58" i="2"/>
  <c r="BU64" i="2"/>
  <c r="BV64" i="2" s="1"/>
  <c r="CH55" i="2"/>
  <c r="CI53" i="2"/>
  <c r="O74" i="2"/>
  <c r="BN29" i="2"/>
  <c r="BL47" i="2" s="1"/>
  <c r="CB32" i="2"/>
  <c r="BV9" i="2"/>
  <c r="BD35" i="2"/>
  <c r="BF37" i="2" s="1"/>
  <c r="BD49" i="2" s="1"/>
  <c r="EV51" i="2" s="1"/>
  <c r="BP34" i="2"/>
  <c r="BL32" i="2"/>
  <c r="AX29" i="2"/>
  <c r="AV47" i="2"/>
  <c r="ET49" i="2" s="1"/>
  <c r="BV55" i="2"/>
  <c r="BW53" i="2"/>
  <c r="BS53" i="2"/>
  <c r="BR55" i="2"/>
  <c r="CL72" i="2"/>
  <c r="CM70" i="2"/>
  <c r="O82" i="2"/>
  <c r="M43" i="3"/>
  <c r="M29" i="3"/>
  <c r="O71" i="2"/>
  <c r="BF88" i="2"/>
  <c r="BF89" i="2" s="1"/>
  <c r="BD101" i="2" s="1"/>
  <c r="BE97" i="2"/>
  <c r="BF97" i="2"/>
  <c r="CF32" i="2"/>
  <c r="BV75" i="2"/>
  <c r="BR88" i="2"/>
  <c r="BR89" i="2"/>
  <c r="BQ97" i="2"/>
  <c r="BR97" i="2" s="1"/>
  <c r="CL58" i="2"/>
  <c r="CK64" i="2"/>
  <c r="CH29" i="2"/>
  <c r="CF47" i="2" s="1"/>
  <c r="CG47" i="2" s="1"/>
  <c r="CF31" i="2"/>
  <c r="CH88" i="2"/>
  <c r="CH89" i="2"/>
  <c r="CG97" i="2"/>
  <c r="CH97" i="2" s="1"/>
  <c r="CJ31" i="2"/>
  <c r="BG70" i="2"/>
  <c r="BF72" i="2"/>
  <c r="BH31" i="2"/>
  <c r="BT34" i="2"/>
  <c r="CM85" i="2"/>
  <c r="CL87" i="2" s="1"/>
  <c r="AF34" i="2"/>
  <c r="AJ34" i="2"/>
  <c r="AN34" i="2"/>
  <c r="AR34" i="2"/>
  <c r="AR31" i="2"/>
  <c r="AU53" i="2"/>
  <c r="AR17" i="2"/>
  <c r="AT17" i="2"/>
  <c r="AR25" i="2"/>
  <c r="AT25" i="2"/>
  <c r="AR41" i="2"/>
  <c r="AT41" i="2"/>
  <c r="AR5" i="2"/>
  <c r="AT5" i="2"/>
  <c r="AR4" i="2"/>
  <c r="AT4" i="2"/>
  <c r="AR24" i="2"/>
  <c r="AT24" i="2"/>
  <c r="AR40" i="2"/>
  <c r="AT40" i="2"/>
  <c r="AR16" i="2"/>
  <c r="AT16" i="2"/>
  <c r="P101" i="2"/>
  <c r="Q101" i="2"/>
  <c r="P66" i="2"/>
  <c r="Q66" i="2"/>
  <c r="R101" i="2"/>
  <c r="R66" i="2"/>
  <c r="AX64" i="2"/>
  <c r="BY65" i="2"/>
  <c r="BZ65" i="2"/>
  <c r="AX37" i="2"/>
  <c r="AB31" i="2"/>
  <c r="AJ31" i="2"/>
  <c r="AF31" i="2"/>
  <c r="AK97" i="2"/>
  <c r="AL97" i="2" s="1"/>
  <c r="AN31" i="2"/>
  <c r="Q62" i="2"/>
  <c r="Q63" i="2"/>
  <c r="AQ53" i="2"/>
  <c r="P65" i="2"/>
  <c r="M8" i="3"/>
  <c r="AF40" i="2"/>
  <c r="AH40" i="2"/>
  <c r="AF4" i="2"/>
  <c r="AH4" i="2"/>
  <c r="AJ4" i="2"/>
  <c r="AL4" i="2"/>
  <c r="AJ16" i="2"/>
  <c r="AL16" i="2"/>
  <c r="AB24" i="2"/>
  <c r="AD24" i="2"/>
  <c r="P63" i="2"/>
  <c r="R92" i="2"/>
  <c r="P89" i="2"/>
  <c r="P61" i="2"/>
  <c r="AB16" i="2"/>
  <c r="AD16" i="2"/>
  <c r="P95" i="2"/>
  <c r="Q98" i="2"/>
  <c r="R61" i="2"/>
  <c r="Q61" i="2"/>
  <c r="P98" i="2"/>
  <c r="R63" i="2"/>
  <c r="R65" i="2"/>
  <c r="Q89" i="2"/>
  <c r="AJ40" i="2"/>
  <c r="AL40" i="2"/>
  <c r="AJ24" i="2"/>
  <c r="AL24" i="2"/>
  <c r="AN16" i="2"/>
  <c r="AP16" i="2"/>
  <c r="Q92" i="2"/>
  <c r="Q65" i="2"/>
  <c r="AB4" i="2"/>
  <c r="AD4" i="2"/>
  <c r="R98" i="2"/>
  <c r="P62" i="2"/>
  <c r="AB40" i="2"/>
  <c r="AD40" i="2"/>
  <c r="AN4" i="2"/>
  <c r="AP4" i="2"/>
  <c r="R95" i="2"/>
  <c r="AN40" i="2"/>
  <c r="AP40" i="2"/>
  <c r="AF16" i="2"/>
  <c r="AH16" i="2"/>
  <c r="AN24" i="2"/>
  <c r="AP24" i="2"/>
  <c r="P92" i="2"/>
  <c r="R89" i="2"/>
  <c r="AF24" i="2"/>
  <c r="AH24" i="2"/>
  <c r="M13" i="3"/>
  <c r="AF41" i="2"/>
  <c r="AH41" i="2"/>
  <c r="AN25" i="2"/>
  <c r="AP25" i="2"/>
  <c r="AB5" i="2"/>
  <c r="AD5" i="2"/>
  <c r="AN5" i="2"/>
  <c r="AP5" i="2"/>
  <c r="AN41" i="2"/>
  <c r="AP41" i="2"/>
  <c r="AB17" i="2"/>
  <c r="AD17" i="2"/>
  <c r="AJ17" i="2"/>
  <c r="AL17" i="2"/>
  <c r="AN17" i="2"/>
  <c r="AP17" i="2"/>
  <c r="AF17" i="2"/>
  <c r="AH17" i="2"/>
  <c r="AJ5" i="2"/>
  <c r="AL5" i="2"/>
  <c r="AJ41" i="2"/>
  <c r="AL41" i="2"/>
  <c r="AB25" i="2"/>
  <c r="AD25" i="2"/>
  <c r="AB41" i="2"/>
  <c r="AD41" i="2"/>
  <c r="AF5" i="2"/>
  <c r="AH5" i="2"/>
  <c r="AF25" i="2"/>
  <c r="AH25" i="2"/>
  <c r="AJ25" i="2"/>
  <c r="AL25" i="2"/>
  <c r="R62" i="2"/>
  <c r="S62" i="2" s="1"/>
  <c r="Q95" i="2"/>
  <c r="BD100" i="2"/>
  <c r="BF100" i="2"/>
  <c r="ER34" i="2" s="1"/>
  <c r="BV13" i="2"/>
  <c r="BT48" i="2" s="1"/>
  <c r="BX105" i="2"/>
  <c r="BZ105" i="2" s="1"/>
  <c r="AL55" i="2"/>
  <c r="BX100" i="2"/>
  <c r="BZ100" i="2" s="1"/>
  <c r="AP64" i="2"/>
  <c r="AZ100" i="2"/>
  <c r="BB100" i="2"/>
  <c r="ER33" i="2"/>
  <c r="AI53" i="2"/>
  <c r="AH55" i="2"/>
  <c r="AH88" i="2"/>
  <c r="AH89" i="2"/>
  <c r="AL88" i="2"/>
  <c r="AL89" i="2" s="1"/>
  <c r="BB13" i="2"/>
  <c r="AZ48" i="2"/>
  <c r="EY50" i="2"/>
  <c r="AK64" i="2"/>
  <c r="AK65" i="2" s="1"/>
  <c r="AL65" i="2" s="1"/>
  <c r="AL64" i="2"/>
  <c r="BF13" i="2"/>
  <c r="BD48" i="2" s="1"/>
  <c r="EY51" i="2"/>
  <c r="CF100" i="2"/>
  <c r="CH100" i="2" s="1"/>
  <c r="BF101" i="2"/>
  <c r="ES34" i="2" s="1"/>
  <c r="ES50" i="2"/>
  <c r="AZ101" i="2"/>
  <c r="BB101" i="2"/>
  <c r="ES33" i="2" s="1"/>
  <c r="CH37" i="2"/>
  <c r="CF49" i="2"/>
  <c r="BV37" i="2"/>
  <c r="BU65" i="2"/>
  <c r="BV65" i="2" s="1"/>
  <c r="CB47" i="2"/>
  <c r="AV102" i="2"/>
  <c r="AX102" i="2" s="1"/>
  <c r="ET32" i="2" s="1"/>
  <c r="CD64" i="2"/>
  <c r="CC65" i="2"/>
  <c r="CD65" i="2"/>
  <c r="BI65" i="2"/>
  <c r="BJ65" i="2"/>
  <c r="BJ64" i="2"/>
  <c r="CK65" i="2"/>
  <c r="CL65" i="2"/>
  <c r="CL64" i="2"/>
  <c r="CF102" i="2"/>
  <c r="CH102" i="2"/>
  <c r="AR32" i="2"/>
  <c r="AR33" i="2"/>
  <c r="S66" i="2"/>
  <c r="T66" i="2"/>
  <c r="T62" i="2"/>
  <c r="S63" i="2"/>
  <c r="T63" i="2"/>
  <c r="AF33" i="2"/>
  <c r="AB33" i="2"/>
  <c r="AJ33" i="2"/>
  <c r="AB32" i="2"/>
  <c r="S65" i="2"/>
  <c r="AN32" i="2"/>
  <c r="S61" i="2"/>
  <c r="T61" i="2" s="1"/>
  <c r="AO65" i="2"/>
  <c r="AP65" i="2"/>
  <c r="AN33" i="2"/>
  <c r="AF32" i="2"/>
  <c r="AJ32" i="2"/>
  <c r="CF104" i="2"/>
  <c r="CH104" i="2" s="1"/>
  <c r="BX101" i="2" l="1"/>
  <c r="BZ101" i="2" s="1"/>
  <c r="BZ13" i="2"/>
  <c r="BX48" i="2" s="1"/>
  <c r="BJ90" i="2"/>
  <c r="BH94" i="2" s="1"/>
  <c r="BI97" i="2"/>
  <c r="BJ97" i="2" s="1"/>
  <c r="BH105" i="2" s="1"/>
  <c r="BJ105" i="2" s="1"/>
  <c r="BH36" i="2"/>
  <c r="BR72" i="2"/>
  <c r="BP100" i="2" s="1"/>
  <c r="BR100" i="2" s="1"/>
  <c r="BS70" i="2"/>
  <c r="ER41" i="2"/>
  <c r="FL41" i="2"/>
  <c r="AV103" i="2"/>
  <c r="AX103" i="2" s="1"/>
  <c r="EU32" i="2" s="1"/>
  <c r="AV50" i="2"/>
  <c r="EU49" i="2" s="1"/>
  <c r="BP61" i="2"/>
  <c r="BJ75" i="2"/>
  <c r="BI81" i="2"/>
  <c r="BJ81" i="2" s="1"/>
  <c r="BH106" i="2" s="1"/>
  <c r="BJ106" i="2" s="1"/>
  <c r="BK53" i="2"/>
  <c r="BJ55" i="2"/>
  <c r="BH100" i="2" s="1"/>
  <c r="BJ100" i="2" s="1"/>
  <c r="CL9" i="2"/>
  <c r="CL13" i="2" s="1"/>
  <c r="CJ48" i="2" s="1"/>
  <c r="AV78" i="2"/>
  <c r="AW81" i="2"/>
  <c r="AX81" i="2" s="1"/>
  <c r="AB19" i="2"/>
  <c r="AD19" i="2" s="1"/>
  <c r="AR43" i="2"/>
  <c r="AT43" i="2" s="1"/>
  <c r="AF7" i="2"/>
  <c r="AH7" i="2" s="1"/>
  <c r="AB7" i="2"/>
  <c r="AD7" i="2" s="1"/>
  <c r="AJ7" i="2"/>
  <c r="AL7" i="2" s="1"/>
  <c r="AJ27" i="2"/>
  <c r="AL27" i="2" s="1"/>
  <c r="AJ19" i="2"/>
  <c r="AL19" i="2" s="1"/>
  <c r="AN43" i="2"/>
  <c r="AP43" i="2" s="1"/>
  <c r="AN19" i="2"/>
  <c r="AP19" i="2" s="1"/>
  <c r="AJ43" i="2"/>
  <c r="AL43" i="2" s="1"/>
  <c r="AF27" i="2"/>
  <c r="AH27" i="2" s="1"/>
  <c r="AB27" i="2"/>
  <c r="AD27" i="2" s="1"/>
  <c r="AN7" i="2"/>
  <c r="AP7" i="2" s="1"/>
  <c r="AR7" i="2"/>
  <c r="AT7" i="2" s="1"/>
  <c r="AR27" i="2"/>
  <c r="AT27" i="2" s="1"/>
  <c r="AF43" i="2"/>
  <c r="AH43" i="2" s="1"/>
  <c r="P96" i="2"/>
  <c r="P97" i="2" s="1"/>
  <c r="M23" i="3"/>
  <c r="AF19" i="2"/>
  <c r="AH19" i="2" s="1"/>
  <c r="R90" i="2"/>
  <c r="R91" i="2" s="1"/>
  <c r="AN27" i="2"/>
  <c r="AP27" i="2" s="1"/>
  <c r="AR19" i="2"/>
  <c r="AT19" i="2" s="1"/>
  <c r="Q93" i="2"/>
  <c r="Q94" i="2" s="1"/>
  <c r="AJ75" i="2"/>
  <c r="AN76" i="2"/>
  <c r="AP76" i="2" s="1"/>
  <c r="AP77" i="2" s="1"/>
  <c r="AR75" i="2"/>
  <c r="AF73" i="2"/>
  <c r="AH73" i="2" s="1"/>
  <c r="AH74" i="2" s="1"/>
  <c r="AF78" i="2" s="1"/>
  <c r="AF76" i="2"/>
  <c r="AH76" i="2" s="1"/>
  <c r="AH77" i="2" s="1"/>
  <c r="AN73" i="2"/>
  <c r="AP73" i="2" s="1"/>
  <c r="AP74" i="2" s="1"/>
  <c r="AN78" i="2" s="1"/>
  <c r="AB70" i="2"/>
  <c r="AD70" i="2" s="1"/>
  <c r="AJ73" i="2"/>
  <c r="AL73" i="2" s="1"/>
  <c r="AL74" i="2" s="1"/>
  <c r="AJ78" i="2" s="1"/>
  <c r="AJ70" i="2"/>
  <c r="AL70" i="2" s="1"/>
  <c r="AR70" i="2"/>
  <c r="AT70" i="2" s="1"/>
  <c r="AR76" i="2"/>
  <c r="AT76" i="2" s="1"/>
  <c r="AT77" i="2" s="1"/>
  <c r="AB75" i="2"/>
  <c r="O79" i="2"/>
  <c r="AB73" i="2"/>
  <c r="AD73" i="2" s="1"/>
  <c r="AD74" i="2" s="1"/>
  <c r="AB78" i="2" s="1"/>
  <c r="AJ76" i="2"/>
  <c r="AL76" i="2" s="1"/>
  <c r="AL77" i="2" s="1"/>
  <c r="AN75" i="2"/>
  <c r="M39" i="3"/>
  <c r="T21" i="5"/>
  <c r="E21" i="5" s="1"/>
  <c r="C21" i="5"/>
  <c r="AF61" i="2"/>
  <c r="AG64" i="2"/>
  <c r="BN75" i="2"/>
  <c r="BL102" i="2" s="1"/>
  <c r="BN102" i="2" s="1"/>
  <c r="BM81" i="2"/>
  <c r="BN81" i="2" s="1"/>
  <c r="BL106" i="2" s="1"/>
  <c r="BN106" i="2" s="1"/>
  <c r="AB43" i="2"/>
  <c r="AD43" i="2" s="1"/>
  <c r="ET41" i="2"/>
  <c r="FK41" i="2"/>
  <c r="EY41" i="2" s="1"/>
  <c r="EO41" i="2" s="1"/>
  <c r="EN41" i="2" s="1"/>
  <c r="BD104" i="2"/>
  <c r="BF104" i="2" s="1"/>
  <c r="EV34" i="2" s="1"/>
  <c r="BM65" i="2"/>
  <c r="BN65" i="2" s="1"/>
  <c r="BD102" i="2"/>
  <c r="BF102" i="2" s="1"/>
  <c r="ET34" i="2" s="1"/>
  <c r="BD50" i="2"/>
  <c r="EU51" i="2" s="1"/>
  <c r="EO37" i="2"/>
  <c r="EN37" i="2" s="1"/>
  <c r="AV101" i="2"/>
  <c r="AX101" i="2" s="1"/>
  <c r="ES32" i="2" s="1"/>
  <c r="AD58" i="2"/>
  <c r="AC64" i="2"/>
  <c r="R96" i="2"/>
  <c r="R97" i="2" s="1"/>
  <c r="Q96" i="2"/>
  <c r="CD75" i="2"/>
  <c r="CB102" i="2" s="1"/>
  <c r="CD102" i="2" s="1"/>
  <c r="CC81" i="2"/>
  <c r="CD81" i="2" s="1"/>
  <c r="CB106" i="2" s="1"/>
  <c r="CD106" i="2" s="1"/>
  <c r="CD21" i="2"/>
  <c r="CB101" i="2" s="1"/>
  <c r="CD101" i="2" s="1"/>
  <c r="CB35" i="2"/>
  <c r="CD37" i="2" s="1"/>
  <c r="BT49" i="2"/>
  <c r="CJ35" i="2"/>
  <c r="CL37" i="2" s="1"/>
  <c r="CL29" i="2"/>
  <c r="BH35" i="2"/>
  <c r="BJ37" i="2" s="1"/>
  <c r="BJ29" i="2"/>
  <c r="CD72" i="2"/>
  <c r="CB100" i="2" s="1"/>
  <c r="CD100" i="2" s="1"/>
  <c r="CE70" i="2"/>
  <c r="O14" i="2"/>
  <c r="M70" i="2"/>
  <c r="FE33" i="2"/>
  <c r="EY33" i="2" s="1"/>
  <c r="AV104" i="2"/>
  <c r="AX104" i="2" s="1"/>
  <c r="AV49" i="2"/>
  <c r="EV49" i="2" s="1"/>
  <c r="BE47" i="2"/>
  <c r="FB51" i="2" s="1"/>
  <c r="X63" i="2"/>
  <c r="Q97" i="2"/>
  <c r="BE65" i="2"/>
  <c r="BF65" i="2" s="1"/>
  <c r="CB105" i="2"/>
  <c r="CD105" i="2" s="1"/>
  <c r="EO40" i="2"/>
  <c r="EN40" i="2" s="1"/>
  <c r="EO39" i="2"/>
  <c r="EN39" i="2" s="1"/>
  <c r="P99" i="2"/>
  <c r="P100" i="2" s="1"/>
  <c r="AT58" i="2"/>
  <c r="AS64" i="2"/>
  <c r="AN70" i="2"/>
  <c r="AP70" i="2" s="1"/>
  <c r="FE34" i="2"/>
  <c r="EY34" i="2" s="1"/>
  <c r="T65" i="2"/>
  <c r="X62" i="2" s="1"/>
  <c r="CJ100" i="2"/>
  <c r="CL100" i="2" s="1"/>
  <c r="CF105" i="2"/>
  <c r="CH105" i="2" s="1"/>
  <c r="BT100" i="2"/>
  <c r="BV100" i="2" s="1"/>
  <c r="CG65" i="2"/>
  <c r="CH65" i="2" s="1"/>
  <c r="BA65" i="2"/>
  <c r="BB65" i="2" s="1"/>
  <c r="BB64" i="2"/>
  <c r="AZ105" i="2" s="1"/>
  <c r="BB105" i="2" s="1"/>
  <c r="EW33" i="2" s="1"/>
  <c r="BX36" i="2"/>
  <c r="BZ37" i="2" s="1"/>
  <c r="BZ29" i="2"/>
  <c r="AZ35" i="2"/>
  <c r="BB29" i="2"/>
  <c r="AZ36" i="2"/>
  <c r="BB45" i="2"/>
  <c r="CF101" i="2"/>
  <c r="CH101" i="2" s="1"/>
  <c r="BT47" i="2"/>
  <c r="BU47" i="2" s="1"/>
  <c r="BT102" i="2"/>
  <c r="BV102" i="2" s="1"/>
  <c r="EO36" i="2"/>
  <c r="EN36" i="2" s="1"/>
  <c r="BN21" i="2"/>
  <c r="BL101" i="2" s="1"/>
  <c r="BN101" i="2" s="1"/>
  <c r="BL36" i="2"/>
  <c r="BN37" i="2" s="1"/>
  <c r="BT78" i="2"/>
  <c r="BT104" i="2" s="1"/>
  <c r="BV104" i="2" s="1"/>
  <c r="BU81" i="2"/>
  <c r="BV81" i="2" s="1"/>
  <c r="BT106" i="2" s="1"/>
  <c r="BV106" i="2" s="1"/>
  <c r="BV90" i="2"/>
  <c r="BT94" i="2" s="1"/>
  <c r="BU97" i="2"/>
  <c r="BV97" i="2" s="1"/>
  <c r="BP35" i="2"/>
  <c r="BR37" i="2" s="1"/>
  <c r="BR21" i="2"/>
  <c r="BR13" i="2" s="1"/>
  <c r="BP48" i="2" s="1"/>
  <c r="BQ47" i="2" s="1"/>
  <c r="BQ64" i="2"/>
  <c r="AT88" i="2"/>
  <c r="AT89" i="2" s="1"/>
  <c r="AS97" i="2"/>
  <c r="AT97" i="2" s="1"/>
  <c r="AX9" i="2"/>
  <c r="AB85" i="2"/>
  <c r="AD85" i="2" s="1"/>
  <c r="AE85" i="2" s="1"/>
  <c r="AD87" i="2" s="1"/>
  <c r="AB92" i="2"/>
  <c r="AD92" i="2" s="1"/>
  <c r="AD93" i="2" s="1"/>
  <c r="AJ85" i="2"/>
  <c r="AL85" i="2" s="1"/>
  <c r="AM85" i="2" s="1"/>
  <c r="AL87" i="2" s="1"/>
  <c r="AF85" i="2"/>
  <c r="AH85" i="2" s="1"/>
  <c r="AI85" i="2" s="1"/>
  <c r="AH87" i="2" s="1"/>
  <c r="AF90" i="2"/>
  <c r="AB90" i="2"/>
  <c r="AN90" i="2"/>
  <c r="AJ92" i="2"/>
  <c r="AL92" i="2" s="1"/>
  <c r="AL93" i="2" s="1"/>
  <c r="AR85" i="2"/>
  <c r="AT85" i="2" s="1"/>
  <c r="AU85" i="2" s="1"/>
  <c r="AT87" i="2" s="1"/>
  <c r="AR92" i="2"/>
  <c r="AT92" i="2" s="1"/>
  <c r="AT93" i="2" s="1"/>
  <c r="AN92" i="2"/>
  <c r="AP92" i="2" s="1"/>
  <c r="AP93" i="2" s="1"/>
  <c r="AF92" i="2"/>
  <c r="AH92" i="2" s="1"/>
  <c r="AH93" i="2" s="1"/>
  <c r="AB76" i="2"/>
  <c r="AD76" i="2" s="1"/>
  <c r="AD77" i="2" s="1"/>
  <c r="AR73" i="2"/>
  <c r="AT73" i="2" s="1"/>
  <c r="AT74" i="2" s="1"/>
  <c r="AR78" i="2" s="1"/>
  <c r="CN90" i="2"/>
  <c r="CP90" i="2" s="1"/>
  <c r="CN83" i="2"/>
  <c r="CP83" i="2" s="1"/>
  <c r="CQ83" i="2" s="1"/>
  <c r="CP85" i="2" s="1"/>
  <c r="FK43" i="2"/>
  <c r="AF70" i="2"/>
  <c r="AH70" i="2" s="1"/>
  <c r="AF75" i="2"/>
  <c r="AF21" i="5"/>
  <c r="AG21" i="5" s="1"/>
  <c r="R111" i="2" l="1"/>
  <c r="F91" i="2"/>
  <c r="E94" i="2"/>
  <c r="Q112" i="2"/>
  <c r="S97" i="2"/>
  <c r="P113" i="2"/>
  <c r="D97" i="2"/>
  <c r="EQ14" i="2"/>
  <c r="ER14" i="2" s="1"/>
  <c r="EQ16" i="2"/>
  <c r="ER16" i="2" s="1"/>
  <c r="EQ12" i="2"/>
  <c r="ER12" i="2" s="1"/>
  <c r="AL21" i="2"/>
  <c r="AH75" i="2"/>
  <c r="AG81" i="2"/>
  <c r="AH81" i="2" s="1"/>
  <c r="AF106" i="2" s="1"/>
  <c r="AH106" i="2" s="1"/>
  <c r="EX28" i="2" s="1"/>
  <c r="BP104" i="2"/>
  <c r="BR104" i="2" s="1"/>
  <c r="BP49" i="2"/>
  <c r="AZ102" i="2"/>
  <c r="BB102" i="2" s="1"/>
  <c r="ET33" i="2" s="1"/>
  <c r="AZ47" i="2"/>
  <c r="P114" i="2"/>
  <c r="D100" i="2"/>
  <c r="AJ44" i="2"/>
  <c r="AL44" i="2" s="1"/>
  <c r="AF28" i="2"/>
  <c r="AH28" i="2" s="1"/>
  <c r="AF36" i="2" s="1"/>
  <c r="AJ8" i="2"/>
  <c r="AL8" i="2" s="1"/>
  <c r="AR8" i="2"/>
  <c r="AT8" i="2" s="1"/>
  <c r="AB28" i="2"/>
  <c r="AD28" i="2" s="1"/>
  <c r="AN28" i="2"/>
  <c r="AP28" i="2" s="1"/>
  <c r="AN36" i="2" s="1"/>
  <c r="AB44" i="2"/>
  <c r="AD44" i="2" s="1"/>
  <c r="AD45" i="2" s="1"/>
  <c r="AB8" i="2"/>
  <c r="AD8" i="2" s="1"/>
  <c r="AF20" i="2"/>
  <c r="AH20" i="2" s="1"/>
  <c r="AF44" i="2"/>
  <c r="AH44" i="2" s="1"/>
  <c r="AN8" i="2"/>
  <c r="AP8" i="2" s="1"/>
  <c r="AJ28" i="2"/>
  <c r="AL28" i="2" s="1"/>
  <c r="AJ36" i="2" s="1"/>
  <c r="AJ20" i="2"/>
  <c r="AL20" i="2" s="1"/>
  <c r="CN73" i="2"/>
  <c r="AN44" i="2"/>
  <c r="AP44" i="2" s="1"/>
  <c r="AF8" i="2"/>
  <c r="AH8" i="2" s="1"/>
  <c r="CN71" i="2"/>
  <c r="CP71" i="2" s="1"/>
  <c r="CP72" i="2" s="1"/>
  <c r="CN99" i="2" s="1"/>
  <c r="CP99" i="2" s="1"/>
  <c r="AR28" i="2"/>
  <c r="AT28" i="2" s="1"/>
  <c r="AR36" i="2" s="1"/>
  <c r="M28" i="3"/>
  <c r="AN20" i="2"/>
  <c r="AP20" i="2" s="1"/>
  <c r="CN69" i="2"/>
  <c r="CP69" i="2" s="1"/>
  <c r="CQ69" i="2" s="1"/>
  <c r="CQ68" i="2" s="1"/>
  <c r="CP70" i="2" s="1"/>
  <c r="O70" i="2"/>
  <c r="CN68" i="2"/>
  <c r="CP68" i="2" s="1"/>
  <c r="AB20" i="2"/>
  <c r="AD20" i="2" s="1"/>
  <c r="Q102" i="2"/>
  <c r="Q103" i="2" s="1"/>
  <c r="AR44" i="2"/>
  <c r="AT44" i="2" s="1"/>
  <c r="CN74" i="2"/>
  <c r="CP74" i="2" s="1"/>
  <c r="CP75" i="2" s="1"/>
  <c r="AR20" i="2"/>
  <c r="AT20" i="2" s="1"/>
  <c r="AT21" i="2" s="1"/>
  <c r="BH49" i="2"/>
  <c r="BH104" i="2"/>
  <c r="BJ104" i="2" s="1"/>
  <c r="AL72" i="2"/>
  <c r="AM70" i="2"/>
  <c r="AL75" i="2"/>
  <c r="AK81" i="2"/>
  <c r="AL81" i="2" s="1"/>
  <c r="AH21" i="2"/>
  <c r="R102" i="2"/>
  <c r="R103" i="2" s="1"/>
  <c r="AT9" i="2"/>
  <c r="AL45" i="2"/>
  <c r="AL29" i="2"/>
  <c r="AJ35" i="2"/>
  <c r="AL37" i="2" s="1"/>
  <c r="AT45" i="2"/>
  <c r="ER49" i="2"/>
  <c r="AV100" i="2"/>
  <c r="AX100" i="2" s="1"/>
  <c r="ER32" i="2" s="1"/>
  <c r="FE32" i="2" s="1"/>
  <c r="AY13" i="2"/>
  <c r="AX13" i="2" s="1"/>
  <c r="AV48" i="2" s="1"/>
  <c r="BX49" i="2"/>
  <c r="BX104" i="2"/>
  <c r="BZ104" i="2" s="1"/>
  <c r="EV32" i="2"/>
  <c r="AX96" i="2"/>
  <c r="BH102" i="2"/>
  <c r="BJ102" i="2" s="1"/>
  <c r="BH47" i="2"/>
  <c r="BI47" i="2" s="1"/>
  <c r="AG65" i="2"/>
  <c r="AH65" i="2" s="1"/>
  <c r="AH64" i="2"/>
  <c r="AR35" i="2"/>
  <c r="AT37" i="2" s="1"/>
  <c r="AH9" i="2"/>
  <c r="AP90" i="2"/>
  <c r="AN94" i="2" s="1"/>
  <c r="AO97" i="2"/>
  <c r="AP97" i="2" s="1"/>
  <c r="AN105" i="2" s="1"/>
  <c r="AP105" i="2" s="1"/>
  <c r="EW30" i="2" s="1"/>
  <c r="AD90" i="2"/>
  <c r="AB94" i="2" s="1"/>
  <c r="AC97" i="2"/>
  <c r="AD97" i="2" s="1"/>
  <c r="BT105" i="2"/>
  <c r="BV105" i="2" s="1"/>
  <c r="BL49" i="2"/>
  <c r="BL104" i="2"/>
  <c r="BN104" i="2" s="1"/>
  <c r="BB37" i="2"/>
  <c r="AP72" i="2"/>
  <c r="AQ70" i="2"/>
  <c r="EQ15" i="2"/>
  <c r="ER15" i="2" s="1"/>
  <c r="EQ17" i="2"/>
  <c r="ER17" i="2" s="1"/>
  <c r="EQ13" i="2"/>
  <c r="ER13" i="2" s="1"/>
  <c r="CJ47" i="2"/>
  <c r="CK47" i="2" s="1"/>
  <c r="CJ102" i="2"/>
  <c r="CL102" i="2" s="1"/>
  <c r="CB104" i="2"/>
  <c r="CD104" i="2" s="1"/>
  <c r="CB49" i="2"/>
  <c r="P90" i="2"/>
  <c r="P91" i="2" s="1"/>
  <c r="BL105" i="2"/>
  <c r="BN105" i="2" s="1"/>
  <c r="AO81" i="2"/>
  <c r="AP81" i="2" s="1"/>
  <c r="AN106" i="2" s="1"/>
  <c r="AP106" i="2" s="1"/>
  <c r="EX30" i="2" s="1"/>
  <c r="AP75" i="2"/>
  <c r="AD75" i="2"/>
  <c r="AC81" i="2"/>
  <c r="AD81" i="2" s="1"/>
  <c r="AB106" i="2" s="1"/>
  <c r="AD106" i="2" s="1"/>
  <c r="EX27" i="2" s="1"/>
  <c r="R99" i="2"/>
  <c r="R100" i="2" s="1"/>
  <c r="AN35" i="2"/>
  <c r="AP29" i="2"/>
  <c r="P102" i="2"/>
  <c r="P103" i="2" s="1"/>
  <c r="AP9" i="2"/>
  <c r="AP21" i="2"/>
  <c r="AL9" i="2"/>
  <c r="AD21" i="2"/>
  <c r="BP101" i="2"/>
  <c r="BR101" i="2" s="1"/>
  <c r="BN13" i="2"/>
  <c r="BL48" i="2" s="1"/>
  <c r="BM47" i="2" s="1"/>
  <c r="CD13" i="2"/>
  <c r="CB48" i="2" s="1"/>
  <c r="CC47" i="2" s="1"/>
  <c r="CN98" i="2"/>
  <c r="CP98" i="2" s="1"/>
  <c r="AC65" i="2"/>
  <c r="AD65" i="2" s="1"/>
  <c r="AD64" i="2"/>
  <c r="AT72" i="2"/>
  <c r="AU70" i="2"/>
  <c r="AF35" i="2"/>
  <c r="CP91" i="2"/>
  <c r="CN101" i="2"/>
  <c r="CP101" i="2" s="1"/>
  <c r="AI70" i="2"/>
  <c r="AH72" i="2"/>
  <c r="AG97" i="2"/>
  <c r="AH97" i="2" s="1"/>
  <c r="AF105" i="2" s="1"/>
  <c r="AH105" i="2" s="1"/>
  <c r="EW28" i="2" s="1"/>
  <c r="AH90" i="2"/>
  <c r="AF94" i="2" s="1"/>
  <c r="BR64" i="2"/>
  <c r="BP105" i="2" s="1"/>
  <c r="BR105" i="2" s="1"/>
  <c r="BQ65" i="2"/>
  <c r="BR65" i="2" s="1"/>
  <c r="AZ103" i="2"/>
  <c r="BB103" i="2" s="1"/>
  <c r="EU33" i="2" s="1"/>
  <c r="AZ50" i="2"/>
  <c r="EU50" i="2" s="1"/>
  <c r="BX102" i="2"/>
  <c r="BZ102" i="2" s="1"/>
  <c r="BX47" i="2"/>
  <c r="BY47" i="2" s="1"/>
  <c r="X61" i="2"/>
  <c r="X65" i="2"/>
  <c r="AT64" i="2"/>
  <c r="AS65" i="2"/>
  <c r="AT65" i="2" s="1"/>
  <c r="Q113" i="2"/>
  <c r="E97" i="2"/>
  <c r="CJ49" i="2"/>
  <c r="CJ104" i="2"/>
  <c r="CL104" i="2" s="1"/>
  <c r="F97" i="2"/>
  <c r="R113" i="2"/>
  <c r="FA34" i="2"/>
  <c r="FG34" i="2"/>
  <c r="P93" i="2"/>
  <c r="P94" i="2" s="1"/>
  <c r="AE70" i="2"/>
  <c r="AD72" i="2"/>
  <c r="AT75" i="2"/>
  <c r="AS81" i="2"/>
  <c r="AT81" i="2" s="1"/>
  <c r="AR106" i="2" s="1"/>
  <c r="AT106" i="2" s="1"/>
  <c r="EX31" i="2" s="1"/>
  <c r="R93" i="2"/>
  <c r="R94" i="2" s="1"/>
  <c r="Q90" i="2"/>
  <c r="Q91" i="2" s="1"/>
  <c r="Q99" i="2"/>
  <c r="Q100" i="2" s="1"/>
  <c r="AH45" i="2"/>
  <c r="AD29" i="2"/>
  <c r="AB35" i="2"/>
  <c r="AP45" i="2"/>
  <c r="AD9" i="2"/>
  <c r="AV106" i="2"/>
  <c r="AX106" i="2" s="1"/>
  <c r="EX32" i="2" s="1"/>
  <c r="AV105" i="2"/>
  <c r="AX105" i="2" s="1"/>
  <c r="EW32" i="2" s="1"/>
  <c r="X66" i="2"/>
  <c r="ES48" i="2" l="1"/>
  <c r="AR101" i="2"/>
  <c r="AT101" i="2" s="1"/>
  <c r="ES31" i="2" s="1"/>
  <c r="AB103" i="2"/>
  <c r="AB50" i="2"/>
  <c r="EU44" i="2" s="1"/>
  <c r="AB100" i="2"/>
  <c r="AD100" i="2" s="1"/>
  <c r="ER27" i="2" s="1"/>
  <c r="ER44" i="2"/>
  <c r="AE13" i="2"/>
  <c r="AD13" i="2" s="1"/>
  <c r="AB48" i="2" s="1"/>
  <c r="EY44" i="2" s="1"/>
  <c r="AF50" i="2"/>
  <c r="EU45" i="2" s="1"/>
  <c r="AF103" i="2"/>
  <c r="ER46" i="2"/>
  <c r="AJ100" i="2"/>
  <c r="AL100" i="2" s="1"/>
  <c r="ER29" i="2" s="1"/>
  <c r="FE29" i="2" s="1"/>
  <c r="EY29" i="2" s="1"/>
  <c r="AM13" i="2"/>
  <c r="AL13" i="2" s="1"/>
  <c r="AJ48" i="2" s="1"/>
  <c r="EY46" i="2" s="1"/>
  <c r="AN47" i="2"/>
  <c r="AN102" i="2"/>
  <c r="AP102" i="2" s="1"/>
  <c r="ET30" i="2" s="1"/>
  <c r="E100" i="2"/>
  <c r="Q114" i="2"/>
  <c r="AH37" i="2"/>
  <c r="AN101" i="2"/>
  <c r="AP101" i="2" s="1"/>
  <c r="ES30" i="2" s="1"/>
  <c r="ES47" i="2"/>
  <c r="AP37" i="2"/>
  <c r="EY49" i="2"/>
  <c r="AW47" i="2"/>
  <c r="FB49" i="2" s="1"/>
  <c r="AJ104" i="2"/>
  <c r="AL104" i="2" s="1"/>
  <c r="AJ49" i="2"/>
  <c r="EV46" i="2" s="1"/>
  <c r="R115" i="2"/>
  <c r="F103" i="2"/>
  <c r="E103" i="2"/>
  <c r="Q115" i="2"/>
  <c r="AB36" i="2"/>
  <c r="ET50" i="2"/>
  <c r="BA47" i="2"/>
  <c r="FB50" i="2" s="1"/>
  <c r="AR105" i="2"/>
  <c r="AT105" i="2" s="1"/>
  <c r="EW31" i="2" s="1"/>
  <c r="P111" i="2"/>
  <c r="S91" i="2"/>
  <c r="D91" i="2"/>
  <c r="AR104" i="2"/>
  <c r="AR49" i="2"/>
  <c r="EV48" i="2" s="1"/>
  <c r="AR50" i="2"/>
  <c r="EU48" i="2" s="1"/>
  <c r="AR103" i="2"/>
  <c r="AR100" i="2"/>
  <c r="AT100" i="2" s="1"/>
  <c r="ER31" i="2" s="1"/>
  <c r="FE31" i="2" s="1"/>
  <c r="EY31" i="2" s="1"/>
  <c r="AU13" i="2"/>
  <c r="AT13" i="2" s="1"/>
  <c r="AR48" i="2" s="1"/>
  <c r="EY48" i="2" s="1"/>
  <c r="ER48" i="2"/>
  <c r="E91" i="2"/>
  <c r="Q111" i="2"/>
  <c r="AH29" i="2"/>
  <c r="ER47" i="2"/>
  <c r="AQ13" i="2"/>
  <c r="AP13" i="2" s="1"/>
  <c r="AN48" i="2" s="1"/>
  <c r="EY47" i="2" s="1"/>
  <c r="AN100" i="2"/>
  <c r="AP100" i="2" s="1"/>
  <c r="ER30" i="2" s="1"/>
  <c r="R114" i="2"/>
  <c r="F100" i="2"/>
  <c r="AZ104" i="2"/>
  <c r="BB104" i="2" s="1"/>
  <c r="EV33" i="2" s="1"/>
  <c r="AZ49" i="2"/>
  <c r="EV50" i="2" s="1"/>
  <c r="AB105" i="2"/>
  <c r="AD105" i="2" s="1"/>
  <c r="EW27" i="2" s="1"/>
  <c r="AI13" i="2"/>
  <c r="AH13" i="2" s="1"/>
  <c r="AF48" i="2" s="1"/>
  <c r="EY45" i="2" s="1"/>
  <c r="AF100" i="2"/>
  <c r="AH100" i="2" s="1"/>
  <c r="ER28" i="2" s="1"/>
  <c r="ER45" i="2"/>
  <c r="FG32" i="2"/>
  <c r="EY32" i="2"/>
  <c r="FA32" i="2" s="1"/>
  <c r="AJ102" i="2"/>
  <c r="AL102" i="2" s="1"/>
  <c r="ET29" i="2" s="1"/>
  <c r="AJ47" i="2"/>
  <c r="ES45" i="2"/>
  <c r="AF101" i="2"/>
  <c r="AH101" i="2" s="1"/>
  <c r="ES28" i="2" s="1"/>
  <c r="FA33" i="2"/>
  <c r="FG33" i="2"/>
  <c r="D94" i="2"/>
  <c r="S94" i="2"/>
  <c r="P112" i="2"/>
  <c r="EE11" i="2"/>
  <c r="EE19" i="2"/>
  <c r="EE22" i="2"/>
  <c r="AJ106" i="2"/>
  <c r="AL106" i="2" s="1"/>
  <c r="EX29" i="2" s="1"/>
  <c r="AJ105" i="2"/>
  <c r="AL105" i="2" s="1"/>
  <c r="EW29" i="2" s="1"/>
  <c r="CP73" i="2"/>
  <c r="CN76" i="2" s="1"/>
  <c r="CN102" i="2" s="1"/>
  <c r="CP102" i="2" s="1"/>
  <c r="CO79" i="2"/>
  <c r="CP79" i="2" s="1"/>
  <c r="CO95" i="2" s="1"/>
  <c r="CP95" i="2" s="1"/>
  <c r="CN100" i="2" s="1"/>
  <c r="CP100" i="2" s="1"/>
  <c r="AJ101" i="2"/>
  <c r="AL101" i="2" s="1"/>
  <c r="ES29" i="2" s="1"/>
  <c r="ES46" i="2"/>
  <c r="AN50" i="2"/>
  <c r="EU47" i="2" s="1"/>
  <c r="AN103" i="2"/>
  <c r="AD37" i="2"/>
  <c r="AB102" i="2"/>
  <c r="AD102" i="2" s="1"/>
  <c r="ET27" i="2" s="1"/>
  <c r="AB47" i="2"/>
  <c r="F94" i="2"/>
  <c r="R112" i="2"/>
  <c r="EE20" i="2"/>
  <c r="EE21" i="2"/>
  <c r="EE12" i="2"/>
  <c r="ES44" i="2"/>
  <c r="AB101" i="2"/>
  <c r="AD101" i="2" s="1"/>
  <c r="ES27" i="2" s="1"/>
  <c r="S103" i="2"/>
  <c r="D103" i="2"/>
  <c r="P115" i="2"/>
  <c r="AT29" i="2"/>
  <c r="AJ50" i="2"/>
  <c r="EU46" i="2" s="1"/>
  <c r="AJ103" i="2"/>
  <c r="AL103" i="2" s="1"/>
  <c r="S100" i="2"/>
  <c r="G97" i="2"/>
  <c r="H97" i="2" s="1"/>
  <c r="S113" i="2"/>
  <c r="G94" i="2" l="1"/>
  <c r="S112" i="2"/>
  <c r="FA29" i="2"/>
  <c r="S115" i="2"/>
  <c r="G103" i="2"/>
  <c r="H103" i="2" s="1"/>
  <c r="A103" i="2" s="1"/>
  <c r="ET44" i="2"/>
  <c r="AC47" i="2"/>
  <c r="FB44" i="2" s="1"/>
  <c r="AT103" i="2"/>
  <c r="EU31" i="2" s="1"/>
  <c r="AJ115" i="2"/>
  <c r="AF47" i="2"/>
  <c r="AF102" i="2"/>
  <c r="AH102" i="2" s="1"/>
  <c r="ET28" i="2" s="1"/>
  <c r="G91" i="2"/>
  <c r="H91" i="2" s="1"/>
  <c r="S111" i="2"/>
  <c r="AJ111" i="2"/>
  <c r="AD103" i="2"/>
  <c r="EU27" i="2" s="1"/>
  <c r="H100" i="2"/>
  <c r="AI113" i="2"/>
  <c r="EV29" i="2"/>
  <c r="AR47" i="2"/>
  <c r="AR102" i="2"/>
  <c r="AT102" i="2" s="1"/>
  <c r="ET31" i="2" s="1"/>
  <c r="G100" i="2"/>
  <c r="S114" i="2"/>
  <c r="AB49" i="2"/>
  <c r="EV44" i="2" s="1"/>
  <c r="AB104" i="2"/>
  <c r="ET46" i="2"/>
  <c r="AK47" i="2"/>
  <c r="FB46" i="2" s="1"/>
  <c r="FE30" i="2"/>
  <c r="EY30" i="2" s="1"/>
  <c r="FA30" i="2" s="1"/>
  <c r="AF104" i="2"/>
  <c r="AF49" i="2"/>
  <c r="EV45" i="2" s="1"/>
  <c r="AO47" i="2"/>
  <c r="FB47" i="2" s="1"/>
  <c r="ET47" i="2"/>
  <c r="AJ113" i="2"/>
  <c r="EU29" i="2"/>
  <c r="FG29" i="2" s="1"/>
  <c r="H94" i="2"/>
  <c r="AJ114" i="2"/>
  <c r="AP103" i="2"/>
  <c r="EU30" i="2" s="1"/>
  <c r="FE28" i="2"/>
  <c r="EY28" i="2" s="1"/>
  <c r="AT104" i="2"/>
  <c r="EV31" i="2" s="1"/>
  <c r="AI115" i="2"/>
  <c r="AN104" i="2"/>
  <c r="AN49" i="2"/>
  <c r="EV47" i="2" s="1"/>
  <c r="AJ112" i="2"/>
  <c r="AH103" i="2"/>
  <c r="EU28" i="2" s="1"/>
  <c r="FE27" i="2"/>
  <c r="EY27" i="2" s="1"/>
  <c r="FA27" i="2" s="1"/>
  <c r="EO33" i="2" l="1"/>
  <c r="A100" i="2"/>
  <c r="A91" i="2"/>
  <c r="FG27" i="2"/>
  <c r="A94" i="2"/>
  <c r="FA31" i="2"/>
  <c r="FG31" i="2"/>
  <c r="ET48" i="2"/>
  <c r="AS47" i="2"/>
  <c r="FB48" i="2" s="1"/>
  <c r="FG30" i="2"/>
  <c r="FA28" i="2"/>
  <c r="EO28" i="2" s="1"/>
  <c r="FG28" i="2"/>
  <c r="AI114" i="2"/>
  <c r="AP104" i="2"/>
  <c r="EV30" i="2" s="1"/>
  <c r="AH104" i="2"/>
  <c r="EV28" i="2" s="1"/>
  <c r="AI112" i="2"/>
  <c r="AI111" i="2"/>
  <c r="AD104" i="2"/>
  <c r="EV27" i="2" s="1"/>
  <c r="ET45" i="2"/>
  <c r="AG47" i="2"/>
  <c r="FB45" i="2" s="1"/>
  <c r="A97" i="2"/>
  <c r="F72" i="3" l="1"/>
  <c r="F58" i="3" s="1"/>
  <c r="E73" i="3"/>
  <c r="E59" i="3" s="1"/>
  <c r="D77" i="3"/>
  <c r="G77" i="3" s="1"/>
  <c r="D72" i="3"/>
  <c r="F77" i="3"/>
  <c r="E75" i="3"/>
  <c r="D74" i="3"/>
  <c r="C75" i="3"/>
  <c r="C74" i="3"/>
  <c r="F73" i="3"/>
  <c r="F59" i="3" s="1"/>
  <c r="E13" i="3" s="1"/>
  <c r="E74" i="3"/>
  <c r="D73" i="3"/>
  <c r="E72" i="3"/>
  <c r="E58" i="3" s="1"/>
  <c r="C76" i="3"/>
  <c r="F75" i="3"/>
  <c r="F74" i="3"/>
  <c r="E76" i="3"/>
  <c r="E62" i="3" s="1"/>
  <c r="D75" i="3"/>
  <c r="C73" i="3"/>
  <c r="C72" i="3"/>
  <c r="F76" i="3"/>
  <c r="F62" i="3" s="1"/>
  <c r="E16" i="3" s="1"/>
  <c r="D76" i="3"/>
  <c r="E77" i="3"/>
  <c r="C77" i="3"/>
  <c r="EO32" i="2"/>
  <c r="EO31" i="2"/>
  <c r="EO34" i="2"/>
  <c r="EO29" i="2"/>
  <c r="EO30" i="2"/>
  <c r="EO27" i="2"/>
  <c r="I77" i="3" l="1"/>
  <c r="H77" i="3"/>
  <c r="I73" i="3"/>
  <c r="I59" i="3" s="1"/>
  <c r="C59" i="3"/>
  <c r="H73" i="3"/>
  <c r="H59" i="3" s="1"/>
  <c r="F81" i="3"/>
  <c r="F61" i="3"/>
  <c r="E15" i="3" s="1"/>
  <c r="E80" i="3"/>
  <c r="E60" i="3"/>
  <c r="D60" i="3"/>
  <c r="D14" i="3" s="1"/>
  <c r="G74" i="3"/>
  <c r="D80" i="3"/>
  <c r="H72" i="3"/>
  <c r="H58" i="3" s="1"/>
  <c r="C58" i="3"/>
  <c r="I72" i="3"/>
  <c r="I58" i="3" s="1"/>
  <c r="F60" i="3"/>
  <c r="E14" i="3" s="1"/>
  <c r="F80" i="3"/>
  <c r="G73" i="3"/>
  <c r="G59" i="3" s="1"/>
  <c r="D59" i="3"/>
  <c r="D13" i="3" s="1"/>
  <c r="C81" i="3"/>
  <c r="I75" i="3"/>
  <c r="C61" i="3"/>
  <c r="H75" i="3"/>
  <c r="D58" i="3"/>
  <c r="D12" i="3" s="1"/>
  <c r="G72" i="3"/>
  <c r="G58" i="3" s="1"/>
  <c r="D62" i="3"/>
  <c r="D16" i="3" s="1"/>
  <c r="G76" i="3"/>
  <c r="G62" i="3" s="1"/>
  <c r="G75" i="3"/>
  <c r="D81" i="3"/>
  <c r="D61" i="3"/>
  <c r="D15" i="3" s="1"/>
  <c r="C62" i="3"/>
  <c r="H76" i="3"/>
  <c r="H62" i="3" s="1"/>
  <c r="I76" i="3"/>
  <c r="I62" i="3" s="1"/>
  <c r="AI17" i="5"/>
  <c r="W17" i="5"/>
  <c r="N17" i="5" s="1"/>
  <c r="E81" i="3"/>
  <c r="E61" i="3"/>
  <c r="H13" i="3"/>
  <c r="I13" i="3"/>
  <c r="G13" i="3"/>
  <c r="F13" i="3"/>
  <c r="C13" i="3"/>
  <c r="W20" i="5"/>
  <c r="N20" i="5" s="1"/>
  <c r="AI20" i="5"/>
  <c r="H16" i="3"/>
  <c r="I16" i="3"/>
  <c r="C16" i="3"/>
  <c r="F12" i="3"/>
  <c r="C12" i="3"/>
  <c r="G12" i="3"/>
  <c r="H12" i="3"/>
  <c r="I12" i="3"/>
  <c r="C60" i="3"/>
  <c r="I74" i="3"/>
  <c r="H74" i="3"/>
  <c r="C80" i="3"/>
  <c r="E12" i="3"/>
  <c r="Y16" i="5" l="1"/>
  <c r="P16" i="5" s="1"/>
  <c r="AK16" i="5"/>
  <c r="AM20" i="5"/>
  <c r="U20" i="5"/>
  <c r="L20" i="5" s="1"/>
  <c r="Y17" i="5"/>
  <c r="P17" i="5" s="1"/>
  <c r="AK17" i="5"/>
  <c r="AH16" i="5"/>
  <c r="V16" i="5"/>
  <c r="M16" i="5" s="1"/>
  <c r="U17" i="5"/>
  <c r="L17" i="5" s="1"/>
  <c r="AM17" i="5"/>
  <c r="H81" i="3"/>
  <c r="H61" i="3"/>
  <c r="V17" i="5"/>
  <c r="M17" i="5" s="1"/>
  <c r="AH17" i="5"/>
  <c r="G80" i="3"/>
  <c r="G60" i="3"/>
  <c r="W19" i="5"/>
  <c r="N19" i="5" s="1"/>
  <c r="AI19" i="5"/>
  <c r="W18" i="5"/>
  <c r="N18" i="5" s="1"/>
  <c r="AI18" i="5"/>
  <c r="AI16" i="5"/>
  <c r="W16" i="5"/>
  <c r="N16" i="5" s="1"/>
  <c r="S16" i="5"/>
  <c r="AF16" i="5"/>
  <c r="AG16" i="5" s="1"/>
  <c r="AL20" i="5"/>
  <c r="X20" i="5"/>
  <c r="O20" i="5" s="1"/>
  <c r="U16" i="5"/>
  <c r="L16" i="5" s="1"/>
  <c r="AM16" i="5"/>
  <c r="AJ16" i="5"/>
  <c r="Z16" i="5"/>
  <c r="Q16" i="5" s="1"/>
  <c r="F16" i="3"/>
  <c r="S17" i="5"/>
  <c r="AF17" i="5"/>
  <c r="AG17" i="5" s="1"/>
  <c r="AL17" i="5"/>
  <c r="X17" i="5"/>
  <c r="O17" i="5" s="1"/>
  <c r="V19" i="5"/>
  <c r="M19" i="5" s="1"/>
  <c r="AH19" i="5"/>
  <c r="AH20" i="5"/>
  <c r="V20" i="5"/>
  <c r="M20" i="5" s="1"/>
  <c r="AH18" i="5"/>
  <c r="V18" i="5"/>
  <c r="M18" i="5" s="1"/>
  <c r="I60" i="3"/>
  <c r="I80" i="3"/>
  <c r="G61" i="3"/>
  <c r="B61" i="3" s="1"/>
  <c r="G81" i="3"/>
  <c r="H80" i="3"/>
  <c r="B80" i="3" s="1"/>
  <c r="H60" i="3"/>
  <c r="X16" i="5"/>
  <c r="O16" i="5" s="1"/>
  <c r="AL16" i="5"/>
  <c r="AF20" i="5"/>
  <c r="AG20" i="5" s="1"/>
  <c r="S20" i="5"/>
  <c r="G16" i="3"/>
  <c r="Z17" i="5"/>
  <c r="Q17" i="5" s="1"/>
  <c r="AJ17" i="5"/>
  <c r="I15" i="3"/>
  <c r="F15" i="3"/>
  <c r="H15" i="3"/>
  <c r="C15" i="3"/>
  <c r="G15" i="3"/>
  <c r="I61" i="3"/>
  <c r="I81" i="3"/>
  <c r="G14" i="3"/>
  <c r="H14" i="3"/>
  <c r="I14" i="3"/>
  <c r="C14" i="3"/>
  <c r="F14" i="3"/>
  <c r="U18" i="5" l="1"/>
  <c r="L18" i="5" s="1"/>
  <c r="AM18" i="5"/>
  <c r="C17" i="5"/>
  <c r="T17" i="5"/>
  <c r="E17" i="5" s="1"/>
  <c r="AK19" i="5"/>
  <c r="Y19" i="5"/>
  <c r="P19" i="5" s="1"/>
  <c r="AM19" i="5"/>
  <c r="U19" i="5"/>
  <c r="L19" i="5" s="1"/>
  <c r="C20" i="5"/>
  <c r="T20" i="5"/>
  <c r="E20" i="5" s="1"/>
  <c r="G19" i="8"/>
  <c r="K30" i="6"/>
  <c r="Z20" i="5"/>
  <c r="Q20" i="5" s="1"/>
  <c r="AJ20" i="5"/>
  <c r="T16" i="5"/>
  <c r="E16" i="5" s="1"/>
  <c r="C16" i="5"/>
  <c r="B81" i="3"/>
  <c r="Y20" i="5"/>
  <c r="P20" i="5" s="1"/>
  <c r="AK20" i="5"/>
  <c r="AJ18" i="5"/>
  <c r="Z18" i="5"/>
  <c r="Q18" i="5" s="1"/>
  <c r="AF19" i="5"/>
  <c r="AG19" i="5" s="1"/>
  <c r="S19" i="5"/>
  <c r="Z19" i="5"/>
  <c r="Q19" i="5" s="1"/>
  <c r="AJ19" i="5"/>
  <c r="G18" i="8"/>
  <c r="K25" i="6"/>
  <c r="B60" i="3"/>
  <c r="AL18" i="5"/>
  <c r="X18" i="5"/>
  <c r="O18" i="5" s="1"/>
  <c r="AK18" i="5"/>
  <c r="Y18" i="5"/>
  <c r="P18" i="5" s="1"/>
  <c r="S18" i="5"/>
  <c r="AF18" i="5"/>
  <c r="AG18" i="5" s="1"/>
  <c r="X19" i="5"/>
  <c r="O19" i="5" s="1"/>
  <c r="AL19" i="5"/>
  <c r="C18" i="8" l="1"/>
  <c r="F23" i="6"/>
  <c r="C19" i="5"/>
  <c r="T19" i="5"/>
  <c r="E19" i="5" s="1"/>
  <c r="K23" i="6"/>
  <c r="D25" i="6" s="1"/>
  <c r="B18" i="8"/>
  <c r="C19" i="8"/>
  <c r="F28" i="6"/>
  <c r="B19" i="8"/>
  <c r="K28" i="6"/>
  <c r="D30" i="6" s="1"/>
  <c r="C18" i="5"/>
  <c r="T18" i="5"/>
  <c r="E18" i="5" s="1"/>
</calcChain>
</file>

<file path=xl/sharedStrings.xml><?xml version="1.0" encoding="utf-8"?>
<sst xmlns="http://schemas.openxmlformats.org/spreadsheetml/2006/main" count="2556" uniqueCount="985">
  <si>
    <t>Ne remplir que les cases grisées</t>
  </si>
  <si>
    <t>Mécanisme de jeu</t>
  </si>
  <si>
    <t>Joueurs</t>
  </si>
  <si>
    <t>Licence</t>
  </si>
  <si>
    <t>Stade de l'épreuve</t>
  </si>
  <si>
    <t>Mode de jeux</t>
  </si>
  <si>
    <t>Catégorie</t>
  </si>
  <si>
    <t>Lieu</t>
  </si>
  <si>
    <t>Date</t>
  </si>
  <si>
    <t>3p2</t>
  </si>
  <si>
    <t>4p2</t>
  </si>
  <si>
    <t>5 joueurs eliminatoire</t>
  </si>
  <si>
    <t>Responsable</t>
  </si>
  <si>
    <t>6 joueurs eliminatoire</t>
  </si>
  <si>
    <t>Quota</t>
  </si>
  <si>
    <t>Finale 2 joueurs</t>
  </si>
  <si>
    <t>2f</t>
  </si>
  <si>
    <t>3f</t>
  </si>
  <si>
    <t>4f</t>
  </si>
  <si>
    <t>LIBRE</t>
  </si>
  <si>
    <t>Perdant</t>
  </si>
  <si>
    <t>5f</t>
  </si>
  <si>
    <t>CADRE</t>
  </si>
  <si>
    <t>Vainqueur</t>
  </si>
  <si>
    <t>6f</t>
  </si>
  <si>
    <t>BANDE</t>
  </si>
  <si>
    <t>@</t>
  </si>
  <si>
    <t xml:space="preserve"> </t>
  </si>
  <si>
    <t>3 BANDES</t>
  </si>
  <si>
    <t>Eliminatoire 1er tour</t>
  </si>
  <si>
    <t>Ecrire le  numero de licence pour qu'apparaisse le nom et prenom du joueur</t>
  </si>
  <si>
    <t>Eliminatoire 2ème tour</t>
  </si>
  <si>
    <t>Eliminatoire 3ème tour</t>
  </si>
  <si>
    <t>Eliminatoire 4ème tour</t>
  </si>
  <si>
    <t>Finale Oise</t>
  </si>
  <si>
    <t>a</t>
  </si>
  <si>
    <t>b</t>
  </si>
  <si>
    <t>France</t>
  </si>
  <si>
    <t>c</t>
  </si>
  <si>
    <t>NATIONAL 1</t>
  </si>
  <si>
    <t>NATIONAL 2</t>
  </si>
  <si>
    <t>NATIONAL 3</t>
  </si>
  <si>
    <t>REGIONAL 1</t>
  </si>
  <si>
    <t>REGIONAL 2</t>
  </si>
  <si>
    <t>REGIONAL 3</t>
  </si>
  <si>
    <t>REGIONAL 4</t>
  </si>
  <si>
    <t xml:space="preserve">JUNIORS Régionaux </t>
  </si>
  <si>
    <t>4 BILLES</t>
  </si>
  <si>
    <t>libre</t>
  </si>
  <si>
    <t>bande</t>
  </si>
  <si>
    <t>cadre</t>
  </si>
  <si>
    <t>3 bandes</t>
  </si>
  <si>
    <t xml:space="preserve">Scenario tableau </t>
  </si>
  <si>
    <t>Moyenne intermediaire</t>
  </si>
  <si>
    <t>Classement de poule</t>
  </si>
  <si>
    <t>pts</t>
  </si>
  <si>
    <t>3fd</t>
  </si>
  <si>
    <t>3p3</t>
  </si>
  <si>
    <t>3p4</t>
  </si>
  <si>
    <t>caramb 1</t>
  </si>
  <si>
    <t>2 joueurs eliminatoire</t>
  </si>
  <si>
    <t>poule de 3</t>
  </si>
  <si>
    <t>caramb 2</t>
  </si>
  <si>
    <t>2 joueurs Finale</t>
  </si>
  <si>
    <t>p1</t>
  </si>
  <si>
    <t>p2</t>
  </si>
  <si>
    <t>N om</t>
  </si>
  <si>
    <t>rep</t>
  </si>
  <si>
    <t>s</t>
  </si>
  <si>
    <t>moy</t>
  </si>
  <si>
    <t>3m10</t>
  </si>
  <si>
    <t>Pm</t>
  </si>
  <si>
    <t>caramb 3</t>
  </si>
  <si>
    <t>3 joueurs eliminatoire</t>
  </si>
  <si>
    <t>v1</t>
  </si>
  <si>
    <t>caramb 4</t>
  </si>
  <si>
    <t>3 joueurs eliminatoire 2 poules</t>
  </si>
  <si>
    <t>3p1</t>
  </si>
  <si>
    <t>1p1</t>
  </si>
  <si>
    <t>caramb 5</t>
  </si>
  <si>
    <t>3 joueurs eliminatoire 3 poules</t>
  </si>
  <si>
    <t>caramb 6</t>
  </si>
  <si>
    <t>3 joueurs eliminatoire 4 poules</t>
  </si>
  <si>
    <t>v2</t>
  </si>
  <si>
    <t>Total points</t>
  </si>
  <si>
    <t>3 joueurs Finale directe</t>
  </si>
  <si>
    <t>3 joueurs Finale</t>
  </si>
  <si>
    <t>4 joueurs Eliminatoire</t>
  </si>
  <si>
    <t>2p1</t>
  </si>
  <si>
    <t>5 joueurs Eliminatoire 2 poules</t>
  </si>
  <si>
    <t>Vip1</t>
  </si>
  <si>
    <t>Moyenne elim</t>
  </si>
  <si>
    <t>4 joueurs demi finale</t>
  </si>
  <si>
    <t>Vip2</t>
  </si>
  <si>
    <t>4 joueurs finale</t>
  </si>
  <si>
    <t>Vip3</t>
  </si>
  <si>
    <t>reprises 1</t>
  </si>
  <si>
    <t>Vip4</t>
  </si>
  <si>
    <t>reprises 2</t>
  </si>
  <si>
    <t>5 joueurs finale</t>
  </si>
  <si>
    <t>Vip5</t>
  </si>
  <si>
    <t>reprises 3</t>
  </si>
  <si>
    <t>Vip6</t>
  </si>
  <si>
    <t>reprises 4</t>
  </si>
  <si>
    <t>6 joueurs finale 2 poules</t>
  </si>
  <si>
    <t>reprises 5</t>
  </si>
  <si>
    <t>reprises 6</t>
  </si>
  <si>
    <t>total reprises</t>
  </si>
  <si>
    <t>4p1</t>
  </si>
  <si>
    <t>Prol</t>
  </si>
  <si>
    <t>Pts match 1</t>
  </si>
  <si>
    <t>Pts match 2</t>
  </si>
  <si>
    <t>Pts match 3</t>
  </si>
  <si>
    <t>Classement final</t>
  </si>
  <si>
    <t>Pts match 4</t>
  </si>
  <si>
    <t>Pts match 5</t>
  </si>
  <si>
    <t>Pts match 6</t>
  </si>
  <si>
    <t>Tour n°1</t>
  </si>
  <si>
    <t>_</t>
  </si>
  <si>
    <t>T 1 poule 1</t>
  </si>
  <si>
    <t>T 2 poule 2</t>
  </si>
  <si>
    <t>Tour5</t>
  </si>
  <si>
    <t>Total pts match</t>
  </si>
  <si>
    <t>Total pts</t>
  </si>
  <si>
    <t>Tour n°2</t>
  </si>
  <si>
    <t>T 2 poule 1</t>
  </si>
  <si>
    <t>T 3 poule 2</t>
  </si>
  <si>
    <t>Tour n°3</t>
  </si>
  <si>
    <t>T 3 poule 1</t>
  </si>
  <si>
    <t>Finale</t>
  </si>
  <si>
    <t>MP1</t>
  </si>
  <si>
    <t>T 1 poule 2</t>
  </si>
  <si>
    <t>Tour n°4</t>
  </si>
  <si>
    <t>MP2</t>
  </si>
  <si>
    <t>MP3</t>
  </si>
  <si>
    <t>MP4</t>
  </si>
  <si>
    <t>MP5</t>
  </si>
  <si>
    <t>Pma</t>
  </si>
  <si>
    <t>pts fin</t>
  </si>
  <si>
    <t>reprises fin</t>
  </si>
  <si>
    <t>Pts match</t>
  </si>
  <si>
    <t>série fin</t>
  </si>
  <si>
    <t>Part</t>
  </si>
  <si>
    <t>MP6</t>
  </si>
  <si>
    <t>Moy Part</t>
  </si>
  <si>
    <t>serie 1</t>
  </si>
  <si>
    <t>serie 2</t>
  </si>
  <si>
    <t>serie 3</t>
  </si>
  <si>
    <t>serie 4</t>
  </si>
  <si>
    <t>serie 5</t>
  </si>
  <si>
    <t>serie 6</t>
  </si>
  <si>
    <t>Serie</t>
  </si>
  <si>
    <t>Pts matc</t>
  </si>
  <si>
    <t>Moyenne</t>
  </si>
  <si>
    <t>Moy part</t>
  </si>
  <si>
    <t>pts 1/4</t>
  </si>
  <si>
    <t>reprises 1/4</t>
  </si>
  <si>
    <t>résultats 1/4</t>
  </si>
  <si>
    <t>série 1/4</t>
  </si>
  <si>
    <t>MP 1/4</t>
  </si>
  <si>
    <t>1/2 finale</t>
  </si>
  <si>
    <t>Quart</t>
  </si>
  <si>
    <t>pts 3/4</t>
  </si>
  <si>
    <t>reprises 3/4</t>
  </si>
  <si>
    <t>résultats 3/4</t>
  </si>
  <si>
    <t>série 3/4</t>
  </si>
  <si>
    <t>MP 3/4</t>
  </si>
  <si>
    <t>5/6 finale</t>
  </si>
  <si>
    <t>pts FIN</t>
  </si>
  <si>
    <t>reprises FIN</t>
  </si>
  <si>
    <t>Pts match  FIN</t>
  </si>
  <si>
    <t>série FIN</t>
  </si>
  <si>
    <t>FINALE</t>
  </si>
  <si>
    <t>Pts fin</t>
  </si>
  <si>
    <t>Pts 3/4</t>
  </si>
  <si>
    <t>Feuille de résultats</t>
  </si>
  <si>
    <t>Stade de l'épreuve:</t>
  </si>
  <si>
    <t>Mode de jeux:</t>
  </si>
  <si>
    <t>Lieu:</t>
  </si>
  <si>
    <t>Date:</t>
  </si>
  <si>
    <t>CLASS</t>
  </si>
  <si>
    <t>NOM</t>
  </si>
  <si>
    <t>Pts</t>
  </si>
  <si>
    <t>Rep</t>
  </si>
  <si>
    <t>Série</t>
  </si>
  <si>
    <t>FEDERATION FRANCAISE DE BILLARD</t>
  </si>
  <si>
    <t>CHAMPIONNATS INDIVIDUELS</t>
  </si>
  <si>
    <t>C.E.B.                 C.N.O.S.F.                 U.M.B.</t>
  </si>
  <si>
    <t>RESPONSABLE DE LIGUE</t>
  </si>
  <si>
    <t>Finale de l'Oise</t>
  </si>
  <si>
    <t>Mode de Jeu</t>
  </si>
  <si>
    <t>Finale de ligue</t>
  </si>
  <si>
    <t>Lieu de l'épreuve</t>
  </si>
  <si>
    <t>Finale de secteur</t>
  </si>
  <si>
    <t>Classe ment</t>
  </si>
  <si>
    <t>Nom - Prénom</t>
  </si>
  <si>
    <t>N° de licence</t>
  </si>
  <si>
    <t>Caram bole</t>
  </si>
  <si>
    <t>Rep rises</t>
  </si>
  <si>
    <t>M.G.</t>
  </si>
  <si>
    <t>M.P.</t>
  </si>
  <si>
    <t/>
  </si>
  <si>
    <t>Les joueurs déclarés forfaits doivent figurer dans ce cadre à la suite</t>
  </si>
  <si>
    <t>Nom et prénom du responsable de l'épreuve (en capitales)</t>
  </si>
  <si>
    <t xml:space="preserve">Qualité </t>
  </si>
  <si>
    <t>SIGNATURE</t>
  </si>
  <si>
    <t>TRES IMPORTANT</t>
  </si>
  <si>
    <t>Cette feuille, dûment remplie, doit être transmise au Responsable de ligue 48 heures au plus tard après la fin de l'épreuve.</t>
  </si>
  <si>
    <t>Elle doit impérativement être accompagnée du bordereau d'engagement dans la Finale de ligue du joueur qualifié et de son remplaçant.</t>
  </si>
  <si>
    <t xml:space="preserve">ATTENTION : Ne pas omettre d'indiquer le n° de licence de chacun des concurrents même déclarés forfaits </t>
  </si>
  <si>
    <t>C.E.B</t>
  </si>
  <si>
    <t>C.N.O.S.F.</t>
  </si>
  <si>
    <t>U.M.B.</t>
  </si>
  <si>
    <t>FEDERATION   FRANCAISE   DE   BILLARD</t>
  </si>
  <si>
    <t>Secrétariat Fédéral : 19 &amp; 21, Avenue Aristide Briand  -  BP 2202  -  03202 VICHY CEDEX</t>
  </si>
  <si>
    <t>Tél. : 04.70.96.01.01   -   Fax : 04.70.96.01.02</t>
  </si>
  <si>
    <t>BORDEREAU D'ENGAGEMENT</t>
  </si>
  <si>
    <t>Dans la Finale de :</t>
  </si>
  <si>
    <t>La feuille de résultats, dûment remplie, doit être adressée sous 48 heures au Responsable Sportif du Secteur ou le cas échéant au Secrétariat Fédéral, s'il n'y a pas de Finale de Secteur.</t>
  </si>
  <si>
    <t>Cette feuille, dûment remplie, doit être transmise au Secrétariat Fédéral 48 heures au plus tard après la fin de l'épreuve.</t>
  </si>
  <si>
    <t xml:space="preserve">Mode de jeu : </t>
  </si>
  <si>
    <t xml:space="preserve">  Catégorie :  </t>
  </si>
  <si>
    <r>
      <t>qui se disputera le :</t>
    </r>
    <r>
      <rPr>
        <sz val="11"/>
        <color indexed="8"/>
        <rFont val="Arial"/>
        <family val="2"/>
      </rPr>
      <t/>
    </r>
  </si>
  <si>
    <t xml:space="preserve">   à :  </t>
  </si>
  <si>
    <r>
      <t xml:space="preserve">1 ) </t>
    </r>
    <r>
      <rPr>
        <b/>
        <u/>
        <sz val="12"/>
        <color indexed="8"/>
        <rFont val="Arial"/>
        <family val="2"/>
      </rPr>
      <t>NOM &amp; Prénom du 1</t>
    </r>
    <r>
      <rPr>
        <b/>
        <u/>
        <vertAlign val="superscript"/>
        <sz val="12"/>
        <color indexed="8"/>
        <rFont val="Arial"/>
        <family val="2"/>
      </rPr>
      <t>er</t>
    </r>
    <r>
      <rPr>
        <b/>
        <u/>
        <sz val="12"/>
        <color indexed="8"/>
        <rFont val="Arial"/>
        <family val="2"/>
      </rPr>
      <t xml:space="preserve"> joueur</t>
    </r>
    <r>
      <rPr>
        <b/>
        <sz val="12"/>
        <color indexed="8"/>
        <rFont val="Arial"/>
        <family val="2"/>
      </rPr>
      <t xml:space="preserve"> : </t>
    </r>
  </si>
  <si>
    <t xml:space="preserve">  N° Licence :  </t>
  </si>
  <si>
    <r>
      <t xml:space="preserve">Club : </t>
    </r>
    <r>
      <rPr>
        <sz val="11"/>
        <color indexed="8"/>
        <rFont val="Arial"/>
        <family val="2"/>
      </rPr>
      <t/>
    </r>
  </si>
  <si>
    <t xml:space="preserve">  Moyenne Générale :  </t>
  </si>
  <si>
    <t>2 ) NOM &amp; Prénom du remplaçant :</t>
  </si>
  <si>
    <r>
      <t>Club</t>
    </r>
    <r>
      <rPr>
        <b/>
        <sz val="12"/>
        <color indexed="8"/>
        <rFont val="Arial"/>
        <family val="2"/>
      </rPr>
      <t xml:space="preserve"> : </t>
    </r>
    <r>
      <rPr>
        <sz val="11"/>
        <color indexed="8"/>
        <rFont val="Arial"/>
        <family val="2"/>
      </rPr>
      <t/>
    </r>
  </si>
  <si>
    <t>A:</t>
  </si>
  <si>
    <t>Le:</t>
  </si>
  <si>
    <t>Signature du premier joueur engagé :</t>
  </si>
  <si>
    <t>Nom en clair du responsable de l'épreuve :</t>
  </si>
  <si>
    <t>Signature :</t>
  </si>
  <si>
    <t>Signature du joueur remplaçant :</t>
  </si>
  <si>
    <t>013613P</t>
  </si>
  <si>
    <t>017988W</t>
  </si>
  <si>
    <t>020497J</t>
  </si>
  <si>
    <t>020498K</t>
  </si>
  <si>
    <t>020501N</t>
  </si>
  <si>
    <t>020531R</t>
  </si>
  <si>
    <t>020537X</t>
  </si>
  <si>
    <t>020553N</t>
  </si>
  <si>
    <t>020629L</t>
  </si>
  <si>
    <t>020632O</t>
  </si>
  <si>
    <t>020633P</t>
  </si>
  <si>
    <t>020691V</t>
  </si>
  <si>
    <t>020697B</t>
  </si>
  <si>
    <t>020698C</t>
  </si>
  <si>
    <t>020831F</t>
  </si>
  <si>
    <t>020851Z</t>
  </si>
  <si>
    <t>020853B</t>
  </si>
  <si>
    <t>020858G</t>
  </si>
  <si>
    <t>020886I</t>
  </si>
  <si>
    <t>020976U</t>
  </si>
  <si>
    <t>020981Z</t>
  </si>
  <si>
    <t>020992K</t>
  </si>
  <si>
    <t>021068I</t>
  </si>
  <si>
    <t>021069J</t>
  </si>
  <si>
    <t>021196G</t>
  </si>
  <si>
    <t>021266Y</t>
  </si>
  <si>
    <t>102549F</t>
  </si>
  <si>
    <t>102552I</t>
  </si>
  <si>
    <t>105804K</t>
  </si>
  <si>
    <t>107938M</t>
  </si>
  <si>
    <t>110380K</t>
  </si>
  <si>
    <t>112083X</t>
  </si>
  <si>
    <t>112106U</t>
  </si>
  <si>
    <t>114841Z</t>
  </si>
  <si>
    <t>122848Y</t>
  </si>
  <si>
    <t>123293B</t>
  </si>
  <si>
    <t>123333P</t>
  </si>
  <si>
    <t>125789B</t>
  </si>
  <si>
    <t>125793F</t>
  </si>
  <si>
    <t>129414M</t>
  </si>
  <si>
    <t>132324K</t>
  </si>
  <si>
    <t>134400G</t>
  </si>
  <si>
    <t>134452G</t>
  </si>
  <si>
    <t>134455J</t>
  </si>
  <si>
    <t>135646E</t>
  </si>
  <si>
    <t>137516C</t>
  </si>
  <si>
    <t>137517D</t>
  </si>
  <si>
    <t>137521H</t>
  </si>
  <si>
    <t>137525L</t>
  </si>
  <si>
    <t>137526M</t>
  </si>
  <si>
    <t>137802C</t>
  </si>
  <si>
    <t>138399B</t>
  </si>
  <si>
    <t>140114A</t>
  </si>
  <si>
    <t>140121H</t>
  </si>
  <si>
    <t>140292W</t>
  </si>
  <si>
    <t>140557B</t>
  </si>
  <si>
    <t>142320W</t>
  </si>
  <si>
    <t>142324A</t>
  </si>
  <si>
    <t>142333J</t>
  </si>
  <si>
    <t>142861R</t>
  </si>
  <si>
    <t>142862S</t>
  </si>
  <si>
    <t>142863T</t>
  </si>
  <si>
    <t>143116M</t>
  </si>
  <si>
    <t>143761H</t>
  </si>
  <si>
    <t>144708S</t>
  </si>
  <si>
    <t>144722G</t>
  </si>
  <si>
    <t>144727L</t>
  </si>
  <si>
    <t>144730O</t>
  </si>
  <si>
    <t>145427J</t>
  </si>
  <si>
    <t>146280E</t>
  </si>
  <si>
    <t>146418M</t>
  </si>
  <si>
    <t>146494K</t>
  </si>
  <si>
    <t>147147S</t>
  </si>
  <si>
    <t>147291Z</t>
  </si>
  <si>
    <t>147413G</t>
  </si>
  <si>
    <t>147414H</t>
  </si>
  <si>
    <t>147723T</t>
  </si>
  <si>
    <t>148999F</t>
  </si>
  <si>
    <t>149410C</t>
  </si>
  <si>
    <t>149815S</t>
  </si>
  <si>
    <t>150677E</t>
  </si>
  <si>
    <t>151796W</t>
  </si>
  <si>
    <t>152140V</t>
  </si>
  <si>
    <t>152910G</t>
  </si>
  <si>
    <t>153596C</t>
  </si>
  <si>
    <t>155214L</t>
  </si>
  <si>
    <t>155562P</t>
  </si>
  <si>
    <t>155563Q</t>
  </si>
  <si>
    <t>156704F</t>
  </si>
  <si>
    <t>156823K</t>
  </si>
  <si>
    <t>158140R</t>
  </si>
  <si>
    <t>159833G</t>
  </si>
  <si>
    <t>157672H</t>
  </si>
  <si>
    <t>LIGUE : HAUTS DE FRANCE</t>
  </si>
  <si>
    <t>Remarques éventuelles        -     Nom, prénom et signature du responsable</t>
  </si>
  <si>
    <t>B.C CREVECOEUR</t>
  </si>
  <si>
    <t>A.S BEAUVAIS</t>
  </si>
  <si>
    <t>B.C MONTATAIRE</t>
  </si>
  <si>
    <t>B.C SENLIS</t>
  </si>
  <si>
    <t>B.C GOUVIEUX</t>
  </si>
  <si>
    <t>B.C MONTREUIL/BRECHE</t>
  </si>
  <si>
    <t>U.S VILLERS SAINT PAUL</t>
  </si>
  <si>
    <t>B.C CREPY EN VALOIS</t>
  </si>
  <si>
    <t>Finale Ligue Hauts de France</t>
  </si>
  <si>
    <t>Hauts de France</t>
  </si>
  <si>
    <t>Masters</t>
  </si>
  <si>
    <t>MASTERS</t>
  </si>
  <si>
    <t>JUNIORS (U21)</t>
  </si>
  <si>
    <t>CADETS (U17)</t>
  </si>
  <si>
    <t>MINIMES</t>
  </si>
  <si>
    <t>CADETS Régionaux</t>
  </si>
  <si>
    <t>DAME NATIONAL</t>
  </si>
  <si>
    <t>DAME REGIONAL</t>
  </si>
  <si>
    <t>Finale 3 joueurs</t>
  </si>
  <si>
    <t>Finale 4 joueurs</t>
  </si>
  <si>
    <t>Finale 5 joueurs</t>
  </si>
  <si>
    <t>BC SENLIS</t>
  </si>
  <si>
    <t>A S BEAUVAIS</t>
  </si>
  <si>
    <t>102510S</t>
  </si>
  <si>
    <t>123338U</t>
  </si>
  <si>
    <t>145645T</t>
  </si>
  <si>
    <t>148820L</t>
  </si>
  <si>
    <t>153243T</t>
  </si>
  <si>
    <t>153485G</t>
  </si>
  <si>
    <t>156585B</t>
  </si>
  <si>
    <t>157875D</t>
  </si>
  <si>
    <t>158043L</t>
  </si>
  <si>
    <t>158253P</t>
  </si>
  <si>
    <t>158459N</t>
  </si>
  <si>
    <t>158565D</t>
  </si>
  <si>
    <t>159215K</t>
  </si>
  <si>
    <t>159301D</t>
  </si>
  <si>
    <t>160887C</t>
  </si>
  <si>
    <t>161559H</t>
  </si>
  <si>
    <t>162627T</t>
  </si>
  <si>
    <t>162821E</t>
  </si>
  <si>
    <t>162823G</t>
  </si>
  <si>
    <t>162824H</t>
  </si>
  <si>
    <t>163830B</t>
  </si>
  <si>
    <t>164108D</t>
  </si>
  <si>
    <t>165308H</t>
  </si>
  <si>
    <t>165883H</t>
  </si>
  <si>
    <t>165891R</t>
  </si>
  <si>
    <t>166321J</t>
  </si>
  <si>
    <t>166322K</t>
  </si>
  <si>
    <t>166323L</t>
  </si>
  <si>
    <t>166343H</t>
  </si>
  <si>
    <t>S'il n'apparait pas verifier le numero dans l'onglet licenciés ou ecrirvez son nom</t>
  </si>
  <si>
    <t>LICENCE</t>
  </si>
  <si>
    <t>CLUB</t>
  </si>
  <si>
    <t>N° Club</t>
  </si>
  <si>
    <t>159835J</t>
  </si>
  <si>
    <t>168123S</t>
  </si>
  <si>
    <t>107929D</t>
  </si>
  <si>
    <t>167623Z</t>
  </si>
  <si>
    <t>020799Z</t>
  </si>
  <si>
    <t>020877Z</t>
  </si>
  <si>
    <t>139231B</t>
  </si>
  <si>
    <t>145382Q</t>
  </si>
  <si>
    <t>167116Y</t>
  </si>
  <si>
    <t>020552M</t>
  </si>
  <si>
    <t>144710U</t>
  </si>
  <si>
    <t>166940G</t>
  </si>
  <si>
    <t>020749B</t>
  </si>
  <si>
    <t>166552K</t>
  </si>
  <si>
    <t>167128L</t>
  </si>
  <si>
    <t>153280J</t>
  </si>
  <si>
    <t>156458N</t>
  </si>
  <si>
    <t>020529P</t>
  </si>
  <si>
    <t>123328K</t>
  </si>
  <si>
    <t>105814U</t>
  </si>
  <si>
    <t>107933H</t>
  </si>
  <si>
    <t>020665V</t>
  </si>
  <si>
    <t>BC GOUVIEUX</t>
  </si>
  <si>
    <t>BC CREPY EN VALOIS</t>
  </si>
  <si>
    <t>BCM CHAMBLYSIEN</t>
  </si>
  <si>
    <t>BC CREVECOEUR</t>
  </si>
  <si>
    <t>BC LIANCOURTOIS</t>
  </si>
  <si>
    <t>BC MERUVIEN</t>
  </si>
  <si>
    <t>BC VILLERS St PAUL</t>
  </si>
  <si>
    <t>Demi-Finale</t>
  </si>
  <si>
    <t>5eme et 6eme Place</t>
  </si>
  <si>
    <t>PM</t>
  </si>
  <si>
    <t>PTS</t>
  </si>
  <si>
    <t>REP</t>
  </si>
  <si>
    <t>points</t>
  </si>
  <si>
    <t>Point</t>
  </si>
  <si>
    <t>Reprise</t>
  </si>
  <si>
    <t>Finale 6 joueurs 2 poules</t>
  </si>
  <si>
    <t>169522N</t>
  </si>
  <si>
    <t>169317Q</t>
  </si>
  <si>
    <t>170890A</t>
  </si>
  <si>
    <t>169366T</t>
  </si>
  <si>
    <t>170289X</t>
  </si>
  <si>
    <t>171180Q</t>
  </si>
  <si>
    <t>170738K</t>
  </si>
  <si>
    <t>171067S</t>
  </si>
  <si>
    <t>013403N</t>
  </si>
  <si>
    <t>170636Z</t>
  </si>
  <si>
    <t>169126H</t>
  </si>
  <si>
    <t>170318D</t>
  </si>
  <si>
    <t>171286F</t>
  </si>
  <si>
    <t>170244Y</t>
  </si>
  <si>
    <t>170245Z</t>
  </si>
  <si>
    <t>168788Q</t>
  </si>
  <si>
    <t>169135S</t>
  </si>
  <si>
    <t>021059Z</t>
  </si>
  <si>
    <t>129419R</t>
  </si>
  <si>
    <r>
      <t xml:space="preserve">Il est indispensable d'enregistrer les résultats sur </t>
    </r>
    <r>
      <rPr>
        <b/>
        <u/>
        <sz val="14"/>
        <color indexed="8"/>
        <rFont val="Arial Narrow"/>
        <family val="2"/>
      </rPr>
      <t>FFBSPORTIF</t>
    </r>
    <r>
      <rPr>
        <sz val="14"/>
        <color indexed="8"/>
        <rFont val="Arial Narrow"/>
        <family val="2"/>
      </rPr>
      <t xml:space="preserve"> en vous aidant du lien ci-dessous</t>
    </r>
  </si>
  <si>
    <t>https://www.telemat.org/FFBI/sif/</t>
  </si>
  <si>
    <t>176443L</t>
  </si>
  <si>
    <t>173575T</t>
  </si>
  <si>
    <t>172575G</t>
  </si>
  <si>
    <t>176040Y</t>
  </si>
  <si>
    <t>176044C</t>
  </si>
  <si>
    <t>176256H</t>
  </si>
  <si>
    <t>112099N</t>
  </si>
  <si>
    <t>173459S</t>
  </si>
  <si>
    <t>175309D</t>
  </si>
  <si>
    <t>176391E</t>
  </si>
  <si>
    <t>125794G</t>
  </si>
  <si>
    <t>173856Z</t>
  </si>
  <si>
    <t>175773H</t>
  </si>
  <si>
    <t>176146N</t>
  </si>
  <si>
    <t>175180N</t>
  </si>
  <si>
    <t>174539R</t>
  </si>
  <si>
    <t>176045D</t>
  </si>
  <si>
    <t>174086Z</t>
  </si>
  <si>
    <t>174494S</t>
  </si>
  <si>
    <t>174255H</t>
  </si>
  <si>
    <t>174013V</t>
  </si>
  <si>
    <t>173639N</t>
  </si>
  <si>
    <t>174449T</t>
  </si>
  <si>
    <t>176147P</t>
  </si>
  <si>
    <t>175987Q</t>
  </si>
  <si>
    <t>122257F</t>
  </si>
  <si>
    <t>177282Y</t>
  </si>
  <si>
    <t>020818S</t>
  </si>
  <si>
    <t>177151F</t>
  </si>
  <si>
    <t>177009B</t>
  </si>
  <si>
    <t>151822Z</t>
  </si>
  <si>
    <t>105529V</t>
  </si>
  <si>
    <t>104115L</t>
  </si>
  <si>
    <t>Classement Final</t>
  </si>
  <si>
    <r>
      <t xml:space="preserve">         </t>
    </r>
    <r>
      <rPr>
        <b/>
        <u/>
        <sz val="14"/>
        <color indexed="8"/>
        <rFont val="Arial"/>
        <family val="2"/>
      </rPr>
      <t>Feuille de transmission des résultats techniques</t>
    </r>
  </si>
  <si>
    <t>Directeur de Jeu</t>
  </si>
  <si>
    <r>
      <t xml:space="preserve">Le présent bordereau doit être rempli entièrement et lisiblement, puis </t>
    </r>
    <r>
      <rPr>
        <b/>
        <sz val="11"/>
        <color indexed="8"/>
        <rFont val="Arial"/>
        <family val="2"/>
      </rPr>
      <t>adressé au Responsable de Ligue i</t>
    </r>
    <r>
      <rPr>
        <sz val="11"/>
        <color indexed="8"/>
        <rFont val="Arial"/>
        <family val="2"/>
      </rPr>
      <t xml:space="preserve">mmédiatement après l'épreuve et </t>
    </r>
    <r>
      <rPr>
        <b/>
        <u/>
        <sz val="11"/>
        <color indexed="8"/>
        <rFont val="Arial"/>
        <family val="2"/>
      </rPr>
      <t>au plus tard dans les 48 heures</t>
    </r>
    <r>
      <rPr>
        <b/>
        <sz val="11"/>
        <color indexed="8"/>
        <rFont val="Arial"/>
        <family val="2"/>
      </rPr>
      <t xml:space="preserve"> </t>
    </r>
    <r>
      <rPr>
        <sz val="11"/>
        <color indexed="8"/>
        <rFont val="Arial"/>
        <family val="2"/>
      </rPr>
      <t>suivant la compétition. Passé ce délai, les engagements ne seront plus acceptés.</t>
    </r>
  </si>
  <si>
    <r>
      <t xml:space="preserve"> </t>
    </r>
    <r>
      <rPr>
        <b/>
        <i/>
        <u/>
        <sz val="18"/>
        <color indexed="8"/>
        <rFont val="Arial"/>
        <family val="2"/>
      </rPr>
      <t>Attention</t>
    </r>
    <r>
      <rPr>
        <i/>
        <sz val="18"/>
        <color indexed="8"/>
        <rFont val="Arial"/>
        <family val="2"/>
      </rPr>
      <t xml:space="preserve"> :</t>
    </r>
  </si>
  <si>
    <r>
      <t>NB :</t>
    </r>
    <r>
      <rPr>
        <sz val="16"/>
        <color indexed="8"/>
        <rFont val="Arial"/>
        <family val="2"/>
      </rPr>
      <t xml:space="preserve"> </t>
    </r>
    <r>
      <rPr>
        <i/>
        <sz val="16"/>
        <color indexed="8"/>
        <rFont val="Arial"/>
        <family val="2"/>
      </rPr>
      <t>Ne doivent être mentionnés sur cette feuille que les joueurs décidés à poursuivre l'épreuve.</t>
    </r>
  </si>
  <si>
    <t>Adresse mail du joueur</t>
  </si>
  <si>
    <r>
      <t xml:space="preserve">Ce bordereau doit être </t>
    </r>
    <r>
      <rPr>
        <sz val="16"/>
        <color indexed="8"/>
        <rFont val="Arial"/>
        <family val="2"/>
      </rPr>
      <t>impérativement accompagné</t>
    </r>
    <r>
      <rPr>
        <b/>
        <sz val="16"/>
        <color indexed="8"/>
        <rFont val="Arial"/>
        <family val="2"/>
      </rPr>
      <t xml:space="preserve"> </t>
    </r>
    <r>
      <rPr>
        <sz val="16"/>
        <color indexed="8"/>
        <rFont val="Arial"/>
        <family val="2"/>
      </rPr>
      <t>de la feuille de résultats de la Finale départementale</t>
    </r>
  </si>
  <si>
    <t>179298P</t>
  </si>
  <si>
    <t>106751V</t>
  </si>
  <si>
    <t>135211L</t>
  </si>
  <si>
    <t>180653M</t>
  </si>
  <si>
    <t>178480A</t>
  </si>
  <si>
    <t>179567G</t>
  </si>
  <si>
    <t>181244E</t>
  </si>
  <si>
    <t>013512S</t>
  </si>
  <si>
    <t>148139W</t>
  </si>
  <si>
    <t>179569J</t>
  </si>
  <si>
    <t>179739T</t>
  </si>
  <si>
    <t>179568H</t>
  </si>
  <si>
    <t>181272K</t>
  </si>
  <si>
    <t>181569H</t>
  </si>
  <si>
    <t>132328O</t>
  </si>
  <si>
    <t>181568G</t>
  </si>
  <si>
    <t>178371G</t>
  </si>
  <si>
    <t>132318E</t>
  </si>
  <si>
    <t>179836Z</t>
  </si>
  <si>
    <t>177011D</t>
  </si>
  <si>
    <t>177012E</t>
  </si>
  <si>
    <t>177560A</t>
  </si>
  <si>
    <t>179107G</t>
  </si>
  <si>
    <t>177010C</t>
  </si>
  <si>
    <t>020493F</t>
  </si>
  <si>
    <t>173871Q</t>
  </si>
  <si>
    <t>BC SAINT JUSTOIS</t>
  </si>
  <si>
    <t>178895B</t>
  </si>
  <si>
    <t>181711M</t>
  </si>
  <si>
    <t>183294H</t>
  </si>
  <si>
    <t>179219D</t>
  </si>
  <si>
    <t>177331B</t>
  </si>
  <si>
    <t>177333D</t>
  </si>
  <si>
    <t>182060R</t>
  </si>
  <si>
    <t>177332C</t>
  </si>
  <si>
    <t>177525M</t>
  </si>
  <si>
    <t>114833R</t>
  </si>
  <si>
    <t>174298E</t>
  </si>
  <si>
    <t>177976C</t>
  </si>
  <si>
    <t>180204Z</t>
  </si>
  <si>
    <t>013119P</t>
  </si>
  <si>
    <t>176974N</t>
  </si>
  <si>
    <t>176973M</t>
  </si>
  <si>
    <t>143057F</t>
  </si>
  <si>
    <t>113840M</t>
  </si>
  <si>
    <t>178243S</t>
  </si>
  <si>
    <t>180531E</t>
  </si>
  <si>
    <t>176975P</t>
  </si>
  <si>
    <t>177280W</t>
  </si>
  <si>
    <t>179145Y</t>
  </si>
  <si>
    <t>B.C LIANCOURT</t>
  </si>
  <si>
    <t>B.C MERU</t>
  </si>
  <si>
    <t>B.C CHAMBLY</t>
  </si>
  <si>
    <t>B.C SAINT JUST</t>
  </si>
  <si>
    <t>BIZET AIME</t>
  </si>
  <si>
    <t>BOUTON GERARD</t>
  </si>
  <si>
    <t>182484C</t>
  </si>
  <si>
    <t>BROUSSAS ALAIN</t>
  </si>
  <si>
    <t>CHAUCHAT JEAN LUC</t>
  </si>
  <si>
    <t>CREDOT GERALD</t>
  </si>
  <si>
    <t>CUNIN ELODIE</t>
  </si>
  <si>
    <t>CUNIN MICKAEL</t>
  </si>
  <si>
    <t>DESCAMPS MICHEL</t>
  </si>
  <si>
    <t>DOUBLET ROLAND</t>
  </si>
  <si>
    <t>FAREZ MICHEL</t>
  </si>
  <si>
    <t>FERRET ANTONY</t>
  </si>
  <si>
    <t>FRANCOIS PASCAL</t>
  </si>
  <si>
    <t>180652L</t>
  </si>
  <si>
    <t>GERARD ETHAN</t>
  </si>
  <si>
    <t>GERARD MICKAEL</t>
  </si>
  <si>
    <t>HERTOUX DIDIER</t>
  </si>
  <si>
    <t>HOURCADE GERARD</t>
  </si>
  <si>
    <t>ISSELIN EMILE</t>
  </si>
  <si>
    <t>LAROCHE FABIEN</t>
  </si>
  <si>
    <t>LE PLARD YVES</t>
  </si>
  <si>
    <t>LEFEBVRE MOISE</t>
  </si>
  <si>
    <t>MICHEL BERNARD</t>
  </si>
  <si>
    <t>MOUTIN DOMINIQUE</t>
  </si>
  <si>
    <t>OLIVEIRA JOSE</t>
  </si>
  <si>
    <t>PELLETIER STEEVE</t>
  </si>
  <si>
    <t>POILLY SERGE</t>
  </si>
  <si>
    <t>POIX JEAN FRANCOIS</t>
  </si>
  <si>
    <t>PORQUIER GERARD</t>
  </si>
  <si>
    <t>POUTIER DIDIER</t>
  </si>
  <si>
    <t>SOYEZ REYNALD</t>
  </si>
  <si>
    <t>TROJANI PHILIPPE</t>
  </si>
  <si>
    <t>VASSEUR YANNICK</t>
  </si>
  <si>
    <t>ZANOTTI MICHEL</t>
  </si>
  <si>
    <t>184043X</t>
  </si>
  <si>
    <t>BELLEMERE GERARD</t>
  </si>
  <si>
    <t>BOZON ROBERT</t>
  </si>
  <si>
    <t>CAUDRON PIERRE</t>
  </si>
  <si>
    <t>CHARLES DOMINIQUE</t>
  </si>
  <si>
    <t>185388J</t>
  </si>
  <si>
    <t>CHARLES ISABELLE</t>
  </si>
  <si>
    <t>182156W</t>
  </si>
  <si>
    <t>CHARLES YANN</t>
  </si>
  <si>
    <t>163816L</t>
  </si>
  <si>
    <t>CULLATI FABIEN</t>
  </si>
  <si>
    <t>181271J</t>
  </si>
  <si>
    <t>DAVID MELISSA</t>
  </si>
  <si>
    <t>182236H</t>
  </si>
  <si>
    <t>DE ALEGRIA ANTONIO</t>
  </si>
  <si>
    <t>FARAGUET MICHEL</t>
  </si>
  <si>
    <t>FAURE STEPHANE</t>
  </si>
  <si>
    <t>FELLINE RICCARDO</t>
  </si>
  <si>
    <t>GILLOT CHRISTOPHER</t>
  </si>
  <si>
    <t>172151W</t>
  </si>
  <si>
    <t>GIRAUDON JEAN PIERRE</t>
  </si>
  <si>
    <t>GUERIN LUCAS</t>
  </si>
  <si>
    <t>181381D</t>
  </si>
  <si>
    <t>HOUET CATHERINE</t>
  </si>
  <si>
    <t>181379B</t>
  </si>
  <si>
    <t>HOUET THIERRY</t>
  </si>
  <si>
    <t>JOLIVET JEAN</t>
  </si>
  <si>
    <t>185111H</t>
  </si>
  <si>
    <t>JOST CHRISTIAN</t>
  </si>
  <si>
    <t>LE FRIEC DANIEL</t>
  </si>
  <si>
    <t>LE ROUX MARC</t>
  </si>
  <si>
    <t>LEBOUCHER PASCAL</t>
  </si>
  <si>
    <t>LECHAT STEPHANE</t>
  </si>
  <si>
    <t>LEFEBVRE GERARD</t>
  </si>
  <si>
    <t>179566F</t>
  </si>
  <si>
    <t>LEGRAND ADRIEN</t>
  </si>
  <si>
    <t>LIZEUX CLAISSE PIERRE</t>
  </si>
  <si>
    <t>MANCUSO LEO</t>
  </si>
  <si>
    <t>MARTIN DENIS</t>
  </si>
  <si>
    <t>MIGLIASSO JEAN PIERRE</t>
  </si>
  <si>
    <t>MIKLASEWICZ VIVIEN</t>
  </si>
  <si>
    <t>184385T</t>
  </si>
  <si>
    <t>MILANDRI CYRIL</t>
  </si>
  <si>
    <t>MONTI RENATO</t>
  </si>
  <si>
    <t>PAILLART JEAN LUC</t>
  </si>
  <si>
    <t>PAUCELLIER PATRICK</t>
  </si>
  <si>
    <t>147148T</t>
  </si>
  <si>
    <t>PIERRE MICHEL</t>
  </si>
  <si>
    <t>POINSOT CLEMENT</t>
  </si>
  <si>
    <t>POURTOULES GERARD</t>
  </si>
  <si>
    <t>STUM PIERRE</t>
  </si>
  <si>
    <t>TESTE OLIVIER</t>
  </si>
  <si>
    <t>TOLLET MICHEL</t>
  </si>
  <si>
    <t>WALTON ANTHONY</t>
  </si>
  <si>
    <t>182017V</t>
  </si>
  <si>
    <t>WILK SERGE</t>
  </si>
  <si>
    <t>ANSELIN PATRICK</t>
  </si>
  <si>
    <t>BILLY DAVID</t>
  </si>
  <si>
    <t>COUPLET SEBASTIEN</t>
  </si>
  <si>
    <t>COUPLET VALENTIN</t>
  </si>
  <si>
    <t>DENIZART JOSE</t>
  </si>
  <si>
    <t>DUBAIL CHRISTIAN</t>
  </si>
  <si>
    <t>DUVAL RAYMOND</t>
  </si>
  <si>
    <t>FORRET ALAIN</t>
  </si>
  <si>
    <t>GEFFROY FLORENT</t>
  </si>
  <si>
    <t>VERFAILLIE DAMIEN</t>
  </si>
  <si>
    <t>VERFAILLIE MATHIEU</t>
  </si>
  <si>
    <t>WYNHANT ALAIN</t>
  </si>
  <si>
    <t>AJALBERT ALAIN</t>
  </si>
  <si>
    <t>AKNOUCHE DOMINIQUE</t>
  </si>
  <si>
    <t>ALAMOME JEAN LUC</t>
  </si>
  <si>
    <t>182067Z</t>
  </si>
  <si>
    <t>AUBARD ALAIN</t>
  </si>
  <si>
    <t>BARRY BRIGITTE</t>
  </si>
  <si>
    <t>BERTRAND FREDERIC</t>
  </si>
  <si>
    <t>182153S</t>
  </si>
  <si>
    <t>BOICHU DANIEL</t>
  </si>
  <si>
    <t>BOURGOGNE CLAUDE</t>
  </si>
  <si>
    <t>CARRE ALAIN</t>
  </si>
  <si>
    <t>CASTAGNIE CHRISTIAN</t>
  </si>
  <si>
    <t>CHESNAIS JACQUES</t>
  </si>
  <si>
    <t>183411K</t>
  </si>
  <si>
    <t>CLEUET DANIEL</t>
  </si>
  <si>
    <t>DANIEL ROBERT</t>
  </si>
  <si>
    <t>DE DONCKER RICHARD</t>
  </si>
  <si>
    <t>DEMEULLE GUY</t>
  </si>
  <si>
    <t>182761D</t>
  </si>
  <si>
    <t>DENIS ANDRE</t>
  </si>
  <si>
    <t>DOURGES CHRISTIAN</t>
  </si>
  <si>
    <t>FEZELOT BERNARD</t>
  </si>
  <si>
    <t>FOURNIER JEAN FRANCOIS</t>
  </si>
  <si>
    <t>182068A</t>
  </si>
  <si>
    <t>GREUIN OLIVIER</t>
  </si>
  <si>
    <t>HAGER JAMES</t>
  </si>
  <si>
    <t>183645P</t>
  </si>
  <si>
    <t>HERBERT JEAN SERGE</t>
  </si>
  <si>
    <t>LAFONT CHRISTOPHE</t>
  </si>
  <si>
    <t>LAFONT LUC</t>
  </si>
  <si>
    <t>LAMARQUE YVES</t>
  </si>
  <si>
    <t>LE CERF PHILIPPE</t>
  </si>
  <si>
    <t>LE MAIRE PATRICK</t>
  </si>
  <si>
    <t>LIS MARCEL</t>
  </si>
  <si>
    <t>MARIE DANIEL</t>
  </si>
  <si>
    <t>MASSON DANIEL</t>
  </si>
  <si>
    <t>MAUCHAUFFE PATRICK</t>
  </si>
  <si>
    <t>MOREAU CLAUDE</t>
  </si>
  <si>
    <t>MOUTTE JEAN PIERRE</t>
  </si>
  <si>
    <t>PERPETTE SEBASTIEN</t>
  </si>
  <si>
    <t>RASPAIL CHRISTIAN</t>
  </si>
  <si>
    <t>ROBIN YVES</t>
  </si>
  <si>
    <t>SCOHY MICHEL</t>
  </si>
  <si>
    <t>SUARD LIONEL</t>
  </si>
  <si>
    <t>184645B</t>
  </si>
  <si>
    <t>WACHS GILBERT</t>
  </si>
  <si>
    <t>ZALMANOVIER JEAN PIERRE</t>
  </si>
  <si>
    <t>COTTEREAU MICHEL</t>
  </si>
  <si>
    <t>152814 C</t>
  </si>
  <si>
    <t>COURTOIS MICHEL</t>
  </si>
  <si>
    <t>181469Z</t>
  </si>
  <si>
    <t>DELACHAPELLE MOREL JEAN FRANCOIS</t>
  </si>
  <si>
    <t>181471B</t>
  </si>
  <si>
    <t>FOURNET GABRIEL</t>
  </si>
  <si>
    <t>FRIDAULT JACQUES</t>
  </si>
  <si>
    <t>GUERIN DOMINIQUE</t>
  </si>
  <si>
    <t>IDASIAK EUGENE</t>
  </si>
  <si>
    <t>MENGUAL JOACHIM</t>
  </si>
  <si>
    <t>MICHEL GERARD</t>
  </si>
  <si>
    <t>PEREZ GERARD</t>
  </si>
  <si>
    <t>PICART ALAIN</t>
  </si>
  <si>
    <t>PORTIER ROBERT</t>
  </si>
  <si>
    <t>RABINEAU YVES</t>
  </si>
  <si>
    <t>181470A</t>
  </si>
  <si>
    <t>SAMAT CLAUDE</t>
  </si>
  <si>
    <t>181468Y</t>
  </si>
  <si>
    <t>VAAST GERARD</t>
  </si>
  <si>
    <t>VAILLANT CLAUDE</t>
  </si>
  <si>
    <t>VAN WYNENDAELE PIERRE</t>
  </si>
  <si>
    <t>VERMEILLE JEAN MICHEL</t>
  </si>
  <si>
    <t>BARTHONNET DIDIER</t>
  </si>
  <si>
    <t>BEAUJOUR THIERRY</t>
  </si>
  <si>
    <t>BEAUMER DANIEL</t>
  </si>
  <si>
    <t>BICHON BERNARD</t>
  </si>
  <si>
    <t>BIENAIME ERIC</t>
  </si>
  <si>
    <t>BOURESCHE ALAIN</t>
  </si>
  <si>
    <t>CASTANER GEORGES</t>
  </si>
  <si>
    <t>DAVID MICHEL</t>
  </si>
  <si>
    <t>DRIDI PATRICE</t>
  </si>
  <si>
    <t>DURLEWANGER DIDIER</t>
  </si>
  <si>
    <t>183244D</t>
  </si>
  <si>
    <t>GOUFFE JACKY</t>
  </si>
  <si>
    <t>HEUDE LUDOVIC</t>
  </si>
  <si>
    <t>HUQUELEUX PATRICK</t>
  </si>
  <si>
    <t>LACHOQUE DANIEL</t>
  </si>
  <si>
    <t>LANGERAERT ALAIN</t>
  </si>
  <si>
    <t>LEGUESCLOU PATRICE</t>
  </si>
  <si>
    <t>LENGAIGNE DANIEL</t>
  </si>
  <si>
    <t>LIEVENS BERNARD</t>
  </si>
  <si>
    <t>RAFFY ALAIN</t>
  </si>
  <si>
    <t>ROUSSEL LOUKA</t>
  </si>
  <si>
    <t>SOYER ROGER</t>
  </si>
  <si>
    <t>URDIALES ANDRE</t>
  </si>
  <si>
    <t>VANDEPUTTE LAURENT</t>
  </si>
  <si>
    <t>ALEXANIAN JOEL</t>
  </si>
  <si>
    <t>BAROUX CHRISTOPHE</t>
  </si>
  <si>
    <t>166737L</t>
  </si>
  <si>
    <t>BECART PAULINE</t>
  </si>
  <si>
    <t>BESSE VIRGINIE</t>
  </si>
  <si>
    <t>BOLAND NOEL</t>
  </si>
  <si>
    <t>COLLARD BRUNO</t>
  </si>
  <si>
    <t>DELAFORGE PASCAL</t>
  </si>
  <si>
    <t>FARAND DIDIER</t>
  </si>
  <si>
    <t>FAUCON JEAN LUC</t>
  </si>
  <si>
    <t>GONTARCZYK GUY</t>
  </si>
  <si>
    <t>HENWOOD PHILIPPE</t>
  </si>
  <si>
    <t>LANGLOIS JEAN PIERRE</t>
  </si>
  <si>
    <t>LAVALLEE DOMINIQUE</t>
  </si>
  <si>
    <t>LETREUILLE PAUL</t>
  </si>
  <si>
    <t>MERCIER GUY</t>
  </si>
  <si>
    <t>POTIER LAURENT</t>
  </si>
  <si>
    <t>164975W</t>
  </si>
  <si>
    <t>POTIER SOPHIE</t>
  </si>
  <si>
    <t>181745Z</t>
  </si>
  <si>
    <t>SERET RENE</t>
  </si>
  <si>
    <t>SMIRO JEAN PIERRE</t>
  </si>
  <si>
    <t>VALADE FREDERIC</t>
  </si>
  <si>
    <t>VINET CLAUDE</t>
  </si>
  <si>
    <t>182059Q</t>
  </si>
  <si>
    <t>ANDRES PIERRE</t>
  </si>
  <si>
    <t>AVOT JOEL</t>
  </si>
  <si>
    <t>AZRIA AARON</t>
  </si>
  <si>
    <t>AZRIA BENJAMIN</t>
  </si>
  <si>
    <t>AZRIA SARAH</t>
  </si>
  <si>
    <t>BARBE CASSANDRA</t>
  </si>
  <si>
    <t>177869L</t>
  </si>
  <si>
    <t>BARBE CLARA</t>
  </si>
  <si>
    <t>BARBE HINATA</t>
  </si>
  <si>
    <t>BARBE LOGAN</t>
  </si>
  <si>
    <t>BARBE PHILIPPE</t>
  </si>
  <si>
    <t>BARTHON PRIAM</t>
  </si>
  <si>
    <t>BARTHON RUBBEN</t>
  </si>
  <si>
    <t>BEGAUD DOMINIQUE</t>
  </si>
  <si>
    <t>175076A</t>
  </si>
  <si>
    <t>BENESSIANO ERIC</t>
  </si>
  <si>
    <t>BOITEL SOPHIE</t>
  </si>
  <si>
    <t>BOUIGES ARMELLE</t>
  </si>
  <si>
    <t>BROCHART CHRISTIAN</t>
  </si>
  <si>
    <t>BROCHET ROBERT</t>
  </si>
  <si>
    <t>CARDOEN PIERRE</t>
  </si>
  <si>
    <t>182448N</t>
  </si>
  <si>
    <t>CARDON SANDRINE</t>
  </si>
  <si>
    <t>CATELOY CLAUDE</t>
  </si>
  <si>
    <t>CLAUX ALAIN</t>
  </si>
  <si>
    <t>179306Y</t>
  </si>
  <si>
    <t>COPEAU THIMOTHE</t>
  </si>
  <si>
    <t>179305 X</t>
  </si>
  <si>
    <t>COPEAU ZOE</t>
  </si>
  <si>
    <t>DE MALET BENOIT</t>
  </si>
  <si>
    <t>DESAINT ETIENNE</t>
  </si>
  <si>
    <t>DESCLAIR GUY</t>
  </si>
  <si>
    <t>182449P</t>
  </si>
  <si>
    <t>DOMINGUES THOMAS</t>
  </si>
  <si>
    <t>DOTAL BERNARD</t>
  </si>
  <si>
    <t>182466H</t>
  </si>
  <si>
    <t>EGOT JOELLE</t>
  </si>
  <si>
    <t>GRASSIN D ALFONSE HENRI</t>
  </si>
  <si>
    <t>183631Z</t>
  </si>
  <si>
    <t>HONLET MARC</t>
  </si>
  <si>
    <t>JOSSELIN WILLIAM</t>
  </si>
  <si>
    <t>LECLERE PAUL</t>
  </si>
  <si>
    <t>LEGULLUCHE GILLES</t>
  </si>
  <si>
    <t>LEROY FABRICE</t>
  </si>
  <si>
    <t>LORGE THIERRY</t>
  </si>
  <si>
    <t>MAGGIAR PASCAL</t>
  </si>
  <si>
    <t>MARCEAU JEROME</t>
  </si>
  <si>
    <t>MASSARD PATRICK</t>
  </si>
  <si>
    <t>MONNIOT NICOLAS</t>
  </si>
  <si>
    <t>MORGAN DE RIVERY CLAIRE</t>
  </si>
  <si>
    <t>NARTUS JEROME</t>
  </si>
  <si>
    <t>PAROUTY CLAIRE</t>
  </si>
  <si>
    <t>PICART LOUIS</t>
  </si>
  <si>
    <t>PICART VICTOR</t>
  </si>
  <si>
    <t>SAUVE OLIVIER</t>
  </si>
  <si>
    <t>SONNTAG GUY</t>
  </si>
  <si>
    <t>VANDENHOLE CHRISTOPHE</t>
  </si>
  <si>
    <t>103413L</t>
  </si>
  <si>
    <t>VERCOUTERE DANIEL</t>
  </si>
  <si>
    <t>ALEXANIAN LOUIS</t>
  </si>
  <si>
    <t>COQUIGNY JEAN JACQUES</t>
  </si>
  <si>
    <t>DOUE MARC</t>
  </si>
  <si>
    <t>DULIN FRANCOIS</t>
  </si>
  <si>
    <t>FOURE MICHEL</t>
  </si>
  <si>
    <t>GROSS XAVIER</t>
  </si>
  <si>
    <t>GUIDOUX ALAIN</t>
  </si>
  <si>
    <t>JEUGNET JAMES</t>
  </si>
  <si>
    <t>LEVISSE RAYMOND</t>
  </si>
  <si>
    <t>RITACCO ANTONIO</t>
  </si>
  <si>
    <t>ALBOUY CLAUDE</t>
  </si>
  <si>
    <t>BARBERIS PHILIPPE</t>
  </si>
  <si>
    <t>CHANTELOUP GHISLAIN</t>
  </si>
  <si>
    <t>CHENAL GERARD</t>
  </si>
  <si>
    <t>CHOJNACKI NODOT ISABELLE</t>
  </si>
  <si>
    <t>DEBRIS PATRICK</t>
  </si>
  <si>
    <t>DEHELLE BERNARD</t>
  </si>
  <si>
    <t>DOBIGNY JEAN PIERRE</t>
  </si>
  <si>
    <t>178187G</t>
  </si>
  <si>
    <t>DOS SANTOS DJEZZAR RAYAN</t>
  </si>
  <si>
    <t>DOYELLE JACQUY</t>
  </si>
  <si>
    <t>FERREIRA MANUEL</t>
  </si>
  <si>
    <t>FORTIN CLAUDE</t>
  </si>
  <si>
    <t>GERONIMI THIERRY</t>
  </si>
  <si>
    <t>GODARD DANIEL</t>
  </si>
  <si>
    <t>GONZALEZ PATRICE</t>
  </si>
  <si>
    <t>GOUX FREDERIC</t>
  </si>
  <si>
    <t>GRAUX CLAUDE</t>
  </si>
  <si>
    <t>HERVIEU DIDIER</t>
  </si>
  <si>
    <t>HIMBLOT FRANCIS</t>
  </si>
  <si>
    <t>LARUE AMBRE</t>
  </si>
  <si>
    <t>LECOURT ERIC</t>
  </si>
  <si>
    <t>LOPEZ BRUNO</t>
  </si>
  <si>
    <t>MACAIRE JEAN</t>
  </si>
  <si>
    <t>MARTEL CHRISTIAN</t>
  </si>
  <si>
    <t>MAUGER JEAN PAUL</t>
  </si>
  <si>
    <t>020795V</t>
  </si>
  <si>
    <t>MEURIER JACQUES</t>
  </si>
  <si>
    <t>MONROY GERARD</t>
  </si>
  <si>
    <t>MOSER JEAN</t>
  </si>
  <si>
    <t>MURIOT JEAN PIERRE</t>
  </si>
  <si>
    <t>NAHIRNYJ ELENA</t>
  </si>
  <si>
    <t>NAHIRNYJ NICOLAS</t>
  </si>
  <si>
    <t>181604W</t>
  </si>
  <si>
    <t>NIZZI FILIPPO</t>
  </si>
  <si>
    <t>NODOT PASCAL</t>
  </si>
  <si>
    <t>181602T</t>
  </si>
  <si>
    <t>OSWALD PATRICK</t>
  </si>
  <si>
    <t>RECIO SALVADOR</t>
  </si>
  <si>
    <t>REMISE CLAUDE</t>
  </si>
  <si>
    <t>RIGAMONTI GIUSEPPE</t>
  </si>
  <si>
    <t>ROYER JOEL</t>
  </si>
  <si>
    <t>TAILLANDIER CLAUDE</t>
  </si>
  <si>
    <t>VIOLETTE JACQUES</t>
  </si>
  <si>
    <t>WILLIG CLAUDE</t>
  </si>
  <si>
    <t>102525H</t>
  </si>
  <si>
    <t>BLANCHARD THIERRY</t>
  </si>
  <si>
    <t>185677Y</t>
  </si>
  <si>
    <t>BOUSSEMART ALAIN</t>
  </si>
  <si>
    <t>186395D</t>
  </si>
  <si>
    <t>DUTRIAUX VALENTIN</t>
  </si>
  <si>
    <t>141604I</t>
  </si>
  <si>
    <t>186394C</t>
  </si>
  <si>
    <t>LEFEBVRE ALEXIS</t>
  </si>
  <si>
    <t>020502O</t>
  </si>
  <si>
    <t>PICAUD CHRISTIAN</t>
  </si>
  <si>
    <t>020668Y</t>
  </si>
  <si>
    <t>CARDON CHRISTIAN</t>
  </si>
  <si>
    <t>185649S</t>
  </si>
  <si>
    <t>CASSINI PHILIPPE</t>
  </si>
  <si>
    <t>186032J</t>
  </si>
  <si>
    <t>GARNERET CHRISTOPHE</t>
  </si>
  <si>
    <t>134909V</t>
  </si>
  <si>
    <t>GILLES FABRICE</t>
  </si>
  <si>
    <t>BATON LAURENT</t>
  </si>
  <si>
    <t>GOSGNACH DANIEL</t>
  </si>
  <si>
    <t>141366E</t>
  </si>
  <si>
    <t>DONGUY ERIK</t>
  </si>
  <si>
    <t>Bordereau d’Engagement en Finale de Ligue</t>
  </si>
  <si>
    <t>Finale de Ligue - Carambole</t>
  </si>
  <si>
    <t xml:space="preserve">Date </t>
  </si>
  <si>
    <t>Organisateur</t>
  </si>
  <si>
    <t xml:space="preserve">CD organisateur </t>
  </si>
  <si>
    <t xml:space="preserve">Club organisateur </t>
  </si>
  <si>
    <t>Finaliste du Comité</t>
  </si>
  <si>
    <t>Catégories Jeunes</t>
  </si>
  <si>
    <t>CD 60 Oise</t>
  </si>
  <si>
    <t>Cadre</t>
  </si>
  <si>
    <t>...</t>
  </si>
  <si>
    <t>Informations Joueurs</t>
  </si>
  <si>
    <t>Ne doivent être mentionnés sur cette feuille que les joueurs réellement concernés par la finale Ligue</t>
  </si>
  <si>
    <t>Informations Finale CD</t>
  </si>
  <si>
    <t>Aisne</t>
  </si>
  <si>
    <t>Seuls les joueurs indiqués sur ce document pourront être convoqués pour la finale</t>
  </si>
  <si>
    <t>Nord</t>
  </si>
  <si>
    <t>En cas de désistement du titulaire, le remplaçant sera convoqué</t>
  </si>
  <si>
    <t>Oise</t>
  </si>
  <si>
    <t>En cas de désistement du remplaçant, le CD concerné n’aura pas de représentant en finale de Ligue</t>
  </si>
  <si>
    <t>Pas de Calais</t>
  </si>
  <si>
    <t>Nom/Prénom Adresse</t>
  </si>
  <si>
    <t>Email&amp; Téléphone</t>
  </si>
  <si>
    <t>Signature joueur</t>
  </si>
  <si>
    <t>Classt</t>
  </si>
  <si>
    <t>Somme</t>
  </si>
  <si>
    <t>Exemple</t>
  </si>
  <si>
    <t>123456Z</t>
  </si>
  <si>
    <t>Martin Dupont</t>
  </si>
  <si>
    <t>martin.dupont@gmail.com</t>
  </si>
  <si>
    <t>1er</t>
  </si>
  <si>
    <t>Rue Nationale, Lille</t>
  </si>
  <si>
    <t>Titulaire</t>
  </si>
  <si>
    <t>Remplaçant</t>
  </si>
  <si>
    <t>Le présent bordereau (accompagné de la feuille de résultats de la Finale CD) doit être rempli entièrement et lisiblement (notamment l’email), puis adressé à resultats.billard.ligue.hdf@gmail.com (et en copie au Responsable Format Ligue) immédiatement après l'épreuve et au plus tard dans les 48 heures suivant la compétition. Passé ce délai, les engagements ne seront plus acceptés.</t>
  </si>
  <si>
    <t>Email destinataire du bordereau d’engagement</t>
  </si>
  <si>
    <t>resultats.billard.ligue.hdf@gmail.com</t>
  </si>
  <si>
    <t>ainsi qu’au responsable format (indiqué ci-dessous)</t>
  </si>
  <si>
    <t>Responsable Format</t>
  </si>
  <si>
    <t>Nom</t>
  </si>
  <si>
    <t>Email</t>
  </si>
  <si>
    <t>Téléphone</t>
  </si>
  <si>
    <t>Libre</t>
  </si>
  <si>
    <t>Patrick MOLEY</t>
  </si>
  <si>
    <t>patmolbil@gmail.com</t>
  </si>
  <si>
    <t>Mickaël BETTEFORT</t>
  </si>
  <si>
    <t>mickey.80@wanadoo.fr</t>
  </si>
  <si>
    <t>06 19 30 22 12</t>
  </si>
  <si>
    <t>1 Bande</t>
  </si>
  <si>
    <t>Emmanuel TAFFIN</t>
  </si>
  <si>
    <t>emmanuel.taffin@orange.fr</t>
  </si>
  <si>
    <t>3 Bandes</t>
  </si>
  <si>
    <t>André OTTEVAERE</t>
  </si>
  <si>
    <t>a.ottevaere@hotmail.fr</t>
  </si>
  <si>
    <t>06 16 15 36 55</t>
  </si>
  <si>
    <t>5 Quilles</t>
  </si>
  <si>
    <t>Béatrice BERTOLOTTI</t>
  </si>
  <si>
    <t>beabertolotti@hotmail.fr</t>
  </si>
  <si>
    <t>06 08 51 89 35</t>
  </si>
  <si>
    <t>Jeunes / Féminines</t>
  </si>
  <si>
    <t>Denis HORNAIN</t>
  </si>
  <si>
    <t>denis.hornain@orange.com</t>
  </si>
  <si>
    <t>Par défaut, les finales se jouent à 5 joueurs, soit  1 représentant par Comité Départemental (CD). Si un CD ne peut présenter de joueur, alors finale à 4 joueurs, etc…La finale se joue dans le club du CD du joueur qualifié. (Le club organisateur doit avoir 2 billards du format de la compétition. Si le club ne peut pas recevoir la finale, celle-ci se déroule dans un autre club du même CD.)</t>
  </si>
  <si>
    <t>Compétition sur 2 jours :Samedi : Convocation 13h30, rencontres à 14h00, 3 tours de jeux. Dimanche : Convocation 8h30, rencontres à 9h00, 2 tours de jeux.</t>
  </si>
  <si>
    <t>2ème</t>
  </si>
  <si>
    <t>3ème</t>
  </si>
  <si>
    <t>4ème</t>
  </si>
  <si>
    <t>5ème</t>
  </si>
  <si>
    <t>6ème</t>
  </si>
  <si>
    <t>7ème</t>
  </si>
  <si>
    <t>8ème</t>
  </si>
  <si>
    <t>Week End (Samedi &amp; Dimanche)</t>
  </si>
  <si>
    <t>Choisir le cd organisateur dans la liste</t>
  </si>
  <si>
    <t>Entrer le lieu de finale de ligue s'il est connu</t>
  </si>
  <si>
    <t>Entrer la date de finale de Ligue</t>
  </si>
  <si>
    <t>07 50 40 73 40</t>
  </si>
  <si>
    <t>06 10 73 70 58</t>
  </si>
  <si>
    <t>06 79 83 43 97</t>
  </si>
  <si>
    <t>143555J</t>
  </si>
  <si>
    <t>DAUTEUR PATRICK</t>
  </si>
  <si>
    <t>Saison 2025-2026 Liste des Licenciés</t>
  </si>
  <si>
    <t>Mise à jour</t>
  </si>
  <si>
    <t>GUILLOTTE JOSE</t>
  </si>
  <si>
    <t>013874Q</t>
  </si>
  <si>
    <t>PARISI JEAN CLAUDE</t>
  </si>
  <si>
    <t>CULLATI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</si>
</sst>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 _€_-;\-* #,##0.00\ _€_-;_-* &quot;-&quot;??\ _€_-;_-@_-"/>
    <numFmt numFmtId="165" formatCode="0.000"/>
    <numFmt numFmtId="166" formatCode="0.0000"/>
    <numFmt numFmtId="167" formatCode="[$-F800]dddd\,\ mmmm\ dd\,\ yyyy"/>
    <numFmt numFmtId="168" formatCode="0.000000"/>
    <numFmt numFmtId="169" formatCode="0.0"/>
    <numFmt numFmtId="170" formatCode="0.00000000000"/>
    <numFmt numFmtId="171" formatCode="0.00000"/>
    <numFmt numFmtId="172" formatCode="[$-40C]d\-mmm\-yy;@"/>
  </numFmts>
  <fonts count="100" x14ac:knownFonts="1">
    <font>
      <sz val="10"/>
      <name val="Book Antiqua"/>
    </font>
    <font>
      <sz val="11"/>
      <color theme="1"/>
      <name val="Calibri"/>
      <family val="2"/>
      <scheme val="minor"/>
    </font>
    <font>
      <sz val="10"/>
      <name val="Arial"/>
      <family val="2"/>
    </font>
    <font>
      <sz val="12"/>
      <name val="Arial"/>
      <family val="2"/>
    </font>
    <font>
      <sz val="16"/>
      <name val="Book Antiqua"/>
      <family val="1"/>
    </font>
    <font>
      <sz val="18"/>
      <name val="Book Antiqua"/>
      <family val="1"/>
    </font>
    <font>
      <sz val="10"/>
      <name val="Book Antiqua"/>
      <family val="1"/>
    </font>
    <font>
      <sz val="11"/>
      <color indexed="8"/>
      <name val="Calibri"/>
      <family val="2"/>
    </font>
    <font>
      <sz val="8"/>
      <name val="Bodoni MT Black"/>
      <family val="1"/>
    </font>
    <font>
      <sz val="8"/>
      <name val="Book Antiqua"/>
      <family val="1"/>
    </font>
    <font>
      <sz val="11"/>
      <color indexed="8"/>
      <name val="Courier New"/>
      <family val="3"/>
    </font>
    <font>
      <sz val="11"/>
      <name val="Courier New"/>
      <family val="3"/>
    </font>
    <font>
      <b/>
      <sz val="14"/>
      <color indexed="8"/>
      <name val="Arial"/>
      <family val="2"/>
    </font>
    <font>
      <b/>
      <sz val="11"/>
      <color indexed="8"/>
      <name val="Arial"/>
      <family val="2"/>
    </font>
    <font>
      <sz val="11"/>
      <color indexed="8"/>
      <name val="Arial"/>
      <family val="2"/>
    </font>
    <font>
      <sz val="14"/>
      <color indexed="8"/>
      <name val="Arial"/>
      <family val="2"/>
    </font>
    <font>
      <b/>
      <sz val="12"/>
      <color indexed="8"/>
      <name val="Arial"/>
      <family val="2"/>
    </font>
    <font>
      <b/>
      <u/>
      <sz val="12"/>
      <color indexed="8"/>
      <name val="Arial"/>
      <family val="2"/>
    </font>
    <font>
      <b/>
      <u/>
      <vertAlign val="superscript"/>
      <sz val="12"/>
      <color indexed="8"/>
      <name val="Arial"/>
      <family val="2"/>
    </font>
    <font>
      <b/>
      <i/>
      <sz val="12"/>
      <color indexed="8"/>
      <name val="Arial"/>
      <family val="2"/>
    </font>
    <font>
      <sz val="12"/>
      <color indexed="8"/>
      <name val="Arial"/>
      <family val="2"/>
    </font>
    <font>
      <b/>
      <u/>
      <sz val="14"/>
      <color indexed="8"/>
      <name val="Arial Narrow"/>
      <family val="2"/>
    </font>
    <font>
      <sz val="14"/>
      <color indexed="8"/>
      <name val="Arial Narrow"/>
      <family val="2"/>
    </font>
    <font>
      <sz val="11"/>
      <color rgb="FFFF0000"/>
      <name val="Courier New"/>
      <family val="3"/>
    </font>
    <font>
      <sz val="11"/>
      <color rgb="FF000000"/>
      <name val="Courier New"/>
      <family val="3"/>
    </font>
    <font>
      <b/>
      <sz val="14"/>
      <color rgb="FF000000"/>
      <name val="Arial"/>
      <family val="2"/>
    </font>
    <font>
      <sz val="11"/>
      <color rgb="FF000000"/>
      <name val="Arial"/>
      <family val="2"/>
    </font>
    <font>
      <b/>
      <u/>
      <sz val="26"/>
      <color rgb="FF000000"/>
      <name val="Arial"/>
      <family val="2"/>
    </font>
    <font>
      <sz val="8"/>
      <color rgb="FF000000"/>
      <name val="Arial"/>
      <family val="2"/>
    </font>
    <font>
      <b/>
      <sz val="18"/>
      <color rgb="FF000000"/>
      <name val="Arial"/>
      <family val="2"/>
    </font>
    <font>
      <b/>
      <sz val="16"/>
      <color rgb="FF000000"/>
      <name val="Arial"/>
      <family val="2"/>
    </font>
    <font>
      <b/>
      <sz val="12"/>
      <color rgb="FF000000"/>
      <name val="Arial"/>
      <family val="2"/>
    </font>
    <font>
      <b/>
      <sz val="2"/>
      <color rgb="FF000000"/>
      <name val="Arial"/>
      <family val="2"/>
    </font>
    <font>
      <b/>
      <sz val="20"/>
      <color rgb="FF000000"/>
      <name val="Arial"/>
      <family val="2"/>
    </font>
    <font>
      <b/>
      <sz val="22"/>
      <color rgb="FF000000"/>
      <name val="Arial"/>
      <family val="2"/>
    </font>
    <font>
      <b/>
      <u/>
      <sz val="12"/>
      <color rgb="FF000000"/>
      <name val="Arial"/>
      <family val="2"/>
    </font>
    <font>
      <b/>
      <sz val="11"/>
      <color rgb="FF000000"/>
      <name val="Arial"/>
      <family val="2"/>
    </font>
    <font>
      <b/>
      <u/>
      <sz val="11"/>
      <color rgb="FF000000"/>
      <name val="Arial"/>
      <family val="2"/>
    </font>
    <font>
      <sz val="14"/>
      <color rgb="FF000000"/>
      <name val="Arial"/>
      <family val="2"/>
    </font>
    <font>
      <i/>
      <sz val="14"/>
      <color rgb="FF000000"/>
      <name val="Arial"/>
      <family val="2"/>
    </font>
    <font>
      <sz val="11"/>
      <color theme="1"/>
      <name val="Arial"/>
      <family val="2"/>
    </font>
    <font>
      <b/>
      <sz val="10"/>
      <name val="Book Antiqua"/>
      <family val="1"/>
    </font>
    <font>
      <u/>
      <sz val="10"/>
      <color theme="10"/>
      <name val="Book Antiqua"/>
      <family val="1"/>
    </font>
    <font>
      <b/>
      <u/>
      <sz val="18"/>
      <color theme="10"/>
      <name val="Arial"/>
      <family val="2"/>
    </font>
    <font>
      <sz val="11"/>
      <name val="Arial"/>
      <family val="2"/>
    </font>
    <font>
      <b/>
      <sz val="11"/>
      <name val="Arial"/>
      <family val="2"/>
    </font>
    <font>
      <sz val="11"/>
      <color rgb="FFFF0000"/>
      <name val="Arial"/>
      <family val="2"/>
    </font>
    <font>
      <sz val="11"/>
      <color theme="0"/>
      <name val="Arial"/>
      <family val="2"/>
    </font>
    <font>
      <sz val="14"/>
      <color theme="1"/>
      <name val="Arial"/>
      <family val="2"/>
    </font>
    <font>
      <b/>
      <u/>
      <sz val="14"/>
      <color indexed="8"/>
      <name val="Arial"/>
      <family val="2"/>
    </font>
    <font>
      <b/>
      <sz val="4"/>
      <color indexed="8"/>
      <name val="Arial"/>
      <family val="2"/>
    </font>
    <font>
      <b/>
      <sz val="20"/>
      <color indexed="8"/>
      <name val="Arial"/>
      <family val="2"/>
    </font>
    <font>
      <b/>
      <sz val="18"/>
      <color indexed="8"/>
      <name val="Arial"/>
      <family val="2"/>
    </font>
    <font>
      <b/>
      <sz val="16"/>
      <color indexed="8"/>
      <name val="Arial"/>
      <family val="2"/>
    </font>
    <font>
      <sz val="10"/>
      <color rgb="FFFF0000"/>
      <name val="Arial"/>
      <family val="2"/>
    </font>
    <font>
      <b/>
      <sz val="10"/>
      <color indexed="8"/>
      <name val="Arial"/>
      <family val="2"/>
    </font>
    <font>
      <sz val="10"/>
      <color indexed="8"/>
      <name val="Arial"/>
      <family val="2"/>
    </font>
    <font>
      <b/>
      <i/>
      <u/>
      <sz val="10"/>
      <color indexed="8"/>
      <name val="Arial"/>
      <family val="2"/>
    </font>
    <font>
      <b/>
      <u/>
      <sz val="11"/>
      <color indexed="8"/>
      <name val="Arial"/>
      <family val="2"/>
    </font>
    <font>
      <sz val="16"/>
      <color rgb="FF000000"/>
      <name val="Arial"/>
      <family val="2"/>
    </font>
    <font>
      <b/>
      <i/>
      <sz val="18"/>
      <color rgb="FF000000"/>
      <name val="Arial"/>
      <family val="2"/>
    </font>
    <font>
      <b/>
      <i/>
      <u/>
      <sz val="18"/>
      <color indexed="8"/>
      <name val="Arial"/>
      <family val="2"/>
    </font>
    <font>
      <i/>
      <sz val="18"/>
      <color indexed="8"/>
      <name val="Arial"/>
      <family val="2"/>
    </font>
    <font>
      <sz val="16"/>
      <color indexed="8"/>
      <name val="Arial"/>
      <family val="2"/>
    </font>
    <font>
      <i/>
      <sz val="16"/>
      <color indexed="8"/>
      <name val="Arial"/>
      <family val="2"/>
    </font>
    <font>
      <sz val="24"/>
      <color theme="1"/>
      <name val="Arial"/>
      <family val="2"/>
    </font>
    <font>
      <b/>
      <sz val="11"/>
      <color theme="1"/>
      <name val="Calibri"/>
      <family val="2"/>
      <scheme val="minor"/>
    </font>
    <font>
      <i/>
      <sz val="4"/>
      <color theme="1"/>
      <name val="Calibri"/>
      <family val="2"/>
      <scheme val="minor"/>
    </font>
    <font>
      <b/>
      <sz val="28"/>
      <color theme="1"/>
      <name val="Calibri"/>
      <family val="2"/>
      <scheme val="minor"/>
    </font>
    <font>
      <b/>
      <sz val="24"/>
      <color rgb="FFC00000"/>
      <name val="Calibri"/>
      <family val="2"/>
      <scheme val="minor"/>
    </font>
    <font>
      <b/>
      <sz val="16"/>
      <color theme="1"/>
      <name val="Calibri"/>
      <family val="2"/>
      <scheme val="minor"/>
    </font>
    <font>
      <b/>
      <sz val="14"/>
      <color theme="1"/>
      <name val="Calibri"/>
      <family val="2"/>
      <scheme val="minor"/>
    </font>
    <font>
      <b/>
      <sz val="8"/>
      <color theme="1"/>
      <name val="Calibri"/>
      <family val="2"/>
      <scheme val="minor"/>
    </font>
    <font>
      <b/>
      <sz val="12"/>
      <color rgb="FF0070C0"/>
      <name val="Calibri"/>
      <family val="2"/>
      <scheme val="minor"/>
    </font>
    <font>
      <b/>
      <sz val="14"/>
      <color rgb="FFC00000"/>
      <name val="Calibri"/>
      <family val="2"/>
      <scheme val="minor"/>
    </font>
    <font>
      <b/>
      <sz val="18"/>
      <color rgb="FF0070C0"/>
      <name val="Calibri"/>
      <family val="2"/>
      <scheme val="minor"/>
    </font>
    <font>
      <b/>
      <i/>
      <sz val="9"/>
      <color theme="1"/>
      <name val="Calibri"/>
      <family val="2"/>
      <scheme val="minor"/>
    </font>
    <font>
      <b/>
      <sz val="9"/>
      <color theme="1"/>
      <name val="Calibri"/>
      <family val="2"/>
      <scheme val="minor"/>
    </font>
    <font>
      <i/>
      <sz val="9"/>
      <color rgb="FFA6A6A6"/>
      <name val="Calibri"/>
      <family val="2"/>
      <scheme val="minor"/>
    </font>
    <font>
      <u/>
      <sz val="11"/>
      <color theme="10"/>
      <name val="Calibri"/>
      <family val="2"/>
    </font>
    <font>
      <b/>
      <sz val="11"/>
      <color rgb="FF0070C0"/>
      <name val="Calibri"/>
      <family val="2"/>
      <scheme val="minor"/>
    </font>
    <font>
      <sz val="12"/>
      <color rgb="FF0070C0"/>
      <name val="Arial"/>
      <family val="2"/>
    </font>
    <font>
      <b/>
      <sz val="12"/>
      <color theme="1"/>
      <name val="Calibri"/>
      <family val="2"/>
      <scheme val="minor"/>
    </font>
    <font>
      <b/>
      <sz val="5"/>
      <color theme="1"/>
      <name val="Calibri"/>
      <family val="2"/>
      <scheme val="minor"/>
    </font>
    <font>
      <b/>
      <i/>
      <sz val="11"/>
      <color theme="1"/>
      <name val="Calibri"/>
      <family val="2"/>
      <scheme val="minor"/>
    </font>
    <font>
      <b/>
      <sz val="4"/>
      <color theme="1"/>
      <name val="Calibri"/>
      <family val="2"/>
      <scheme val="minor"/>
    </font>
    <font>
      <i/>
      <sz val="10"/>
      <color rgb="FF808080"/>
      <name val="Calibri"/>
      <family val="2"/>
      <scheme val="minor"/>
    </font>
    <font>
      <b/>
      <sz val="18"/>
      <color rgb="FFC00000"/>
      <name val="Calibri"/>
      <family val="2"/>
      <scheme val="minor"/>
    </font>
    <font>
      <sz val="24"/>
      <name val="Arial"/>
      <family val="2"/>
    </font>
    <font>
      <sz val="14"/>
      <name val="Arial"/>
      <family val="2"/>
    </font>
    <font>
      <sz val="22"/>
      <name val="Arial"/>
      <family val="2"/>
    </font>
    <font>
      <sz val="16"/>
      <name val="Arial"/>
      <family val="2"/>
    </font>
    <font>
      <b/>
      <u/>
      <sz val="14"/>
      <name val="Arial"/>
      <family val="2"/>
    </font>
    <font>
      <b/>
      <sz val="12"/>
      <name val="Arial"/>
      <family val="2"/>
    </font>
    <font>
      <b/>
      <sz val="22"/>
      <name val="Arial"/>
      <family val="2"/>
    </font>
    <font>
      <b/>
      <sz val="14"/>
      <name val="Arial"/>
      <family val="2"/>
    </font>
    <font>
      <sz val="18"/>
      <name val="Arial"/>
      <family val="2"/>
    </font>
    <font>
      <u/>
      <sz val="12"/>
      <name val="Arial"/>
      <family val="2"/>
    </font>
    <font>
      <b/>
      <u/>
      <sz val="12"/>
      <name val="Arial"/>
      <family val="2"/>
    </font>
    <font>
      <b/>
      <sz val="10"/>
      <name val="Arial"/>
      <family val="2"/>
    </font>
  </fonts>
  <fills count="11">
    <fill>
      <patternFill patternType="none"/>
    </fill>
    <fill>
      <patternFill patternType="gray125"/>
    </fill>
    <fill>
      <patternFill patternType="solid">
        <fgColor indexed="22"/>
        <bgColor indexed="64"/>
      </patternFill>
    </fill>
    <fill>
      <patternFill patternType="solid">
        <fgColor indexed="31"/>
        <bgColor indexed="64"/>
      </patternFill>
    </fill>
    <fill>
      <patternFill patternType="solid">
        <fgColor indexed="43"/>
        <bgColor indexed="64"/>
      </patternFill>
    </fill>
    <fill>
      <patternFill patternType="solid">
        <fgColor indexed="42"/>
        <bgColor indexed="64"/>
      </patternFill>
    </fill>
    <fill>
      <patternFill patternType="solid">
        <fgColor indexed="27"/>
        <bgColor indexed="64"/>
      </patternFill>
    </fill>
    <fill>
      <patternFill patternType="solid">
        <fgColor theme="8"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hair">
        <color indexed="64"/>
      </right>
      <top style="medium">
        <color indexed="64"/>
      </top>
      <bottom style="dashed">
        <color indexed="64"/>
      </bottom>
      <diagonal/>
    </border>
    <border>
      <left style="hair">
        <color indexed="64"/>
      </left>
      <right style="hair">
        <color indexed="64"/>
      </right>
      <top style="medium">
        <color indexed="64"/>
      </top>
      <bottom style="dashed">
        <color indexed="64"/>
      </bottom>
      <diagonal/>
    </border>
    <border>
      <left style="hair">
        <color indexed="64"/>
      </left>
      <right style="medium">
        <color indexed="64"/>
      </right>
      <top style="medium">
        <color indexed="64"/>
      </top>
      <bottom style="dashed">
        <color indexed="64"/>
      </bottom>
      <diagonal/>
    </border>
    <border>
      <left style="medium">
        <color indexed="64"/>
      </left>
      <right style="hair">
        <color indexed="64"/>
      </right>
      <top style="dashed">
        <color indexed="64"/>
      </top>
      <bottom style="dashed">
        <color indexed="64"/>
      </bottom>
      <diagonal/>
    </border>
    <border>
      <left style="hair">
        <color indexed="64"/>
      </left>
      <right style="hair">
        <color indexed="64"/>
      </right>
      <top style="dashed">
        <color indexed="64"/>
      </top>
      <bottom style="dashed">
        <color indexed="64"/>
      </bottom>
      <diagonal/>
    </border>
    <border>
      <left style="hair">
        <color indexed="64"/>
      </left>
      <right style="medium">
        <color indexed="64"/>
      </right>
      <top style="dashed">
        <color indexed="64"/>
      </top>
      <bottom style="dashed">
        <color indexed="64"/>
      </bottom>
      <diagonal/>
    </border>
    <border>
      <left style="medium">
        <color indexed="64"/>
      </left>
      <right style="hair">
        <color indexed="64"/>
      </right>
      <top style="dashed">
        <color indexed="64"/>
      </top>
      <bottom style="medium">
        <color indexed="64"/>
      </bottom>
      <diagonal/>
    </border>
    <border>
      <left style="hair">
        <color indexed="64"/>
      </left>
      <right style="hair">
        <color indexed="64"/>
      </right>
      <top style="dashed">
        <color indexed="64"/>
      </top>
      <bottom style="medium">
        <color indexed="64"/>
      </bottom>
      <diagonal/>
    </border>
    <border>
      <left style="hair">
        <color indexed="64"/>
      </left>
      <right style="medium">
        <color indexed="64"/>
      </right>
      <top style="dashed">
        <color indexed="64"/>
      </top>
      <bottom style="medium">
        <color indexed="64"/>
      </bottom>
      <diagonal/>
    </border>
    <border>
      <left/>
      <right style="hair">
        <color indexed="64"/>
      </right>
      <top style="medium">
        <color indexed="64"/>
      </top>
      <bottom style="dashed">
        <color indexed="64"/>
      </bottom>
      <diagonal/>
    </border>
    <border>
      <left/>
      <right style="hair">
        <color indexed="64"/>
      </right>
      <top style="dashed">
        <color indexed="64"/>
      </top>
      <bottom style="dashed">
        <color indexed="64"/>
      </bottom>
      <diagonal/>
    </border>
    <border>
      <left/>
      <right style="hair">
        <color indexed="64"/>
      </right>
      <top style="dashed">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top/>
      <bottom style="hair">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style="hair">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s>
  <cellStyleXfs count="9">
    <xf numFmtId="0" fontId="0" fillId="0" borderId="0"/>
    <xf numFmtId="164" fontId="7" fillId="0" borderId="0" applyFont="0" applyFill="0" applyBorder="0" applyAlignment="0" applyProtection="0"/>
    <xf numFmtId="0" fontId="2" fillId="0" borderId="0"/>
    <xf numFmtId="0" fontId="7" fillId="0" borderId="0"/>
    <xf numFmtId="0" fontId="2" fillId="0" borderId="0"/>
    <xf numFmtId="0" fontId="2" fillId="0" borderId="0"/>
    <xf numFmtId="0" fontId="42" fillId="0" borderId="0" applyNumberFormat="0" applyFill="0" applyBorder="0" applyAlignment="0" applyProtection="0"/>
    <xf numFmtId="0" fontId="1" fillId="0" borderId="0"/>
    <xf numFmtId="0" fontId="79" fillId="0" borderId="0" applyNumberFormat="0" applyFill="0" applyBorder="0" applyAlignment="0" applyProtection="0">
      <alignment vertical="top"/>
      <protection locked="0"/>
    </xf>
  </cellStyleXfs>
  <cellXfs count="565">
    <xf numFmtId="0" fontId="0" fillId="0" borderId="0" xfId="0"/>
    <xf numFmtId="0" fontId="3" fillId="0" borderId="0" xfId="4" applyFont="1" applyAlignment="1">
      <alignment vertical="center"/>
    </xf>
    <xf numFmtId="0" fontId="6" fillId="0" borderId="0" xfId="0" applyFont="1"/>
    <xf numFmtId="1" fontId="9" fillId="0" borderId="0" xfId="1" applyNumberFormat="1" applyFont="1" applyFill="1" applyBorder="1" applyAlignment="1" applyProtection="1">
      <alignment horizontal="center" vertical="center"/>
    </xf>
    <xf numFmtId="0" fontId="9" fillId="0" borderId="0" xfId="4" applyFont="1" applyAlignment="1">
      <alignment horizontal="center" vertical="center"/>
    </xf>
    <xf numFmtId="0" fontId="10" fillId="0" borderId="0" xfId="0" applyFont="1"/>
    <xf numFmtId="0" fontId="11" fillId="0" borderId="0" xfId="4" applyFont="1" applyAlignment="1">
      <alignment vertical="center"/>
    </xf>
    <xf numFmtId="0" fontId="11" fillId="0" borderId="0" xfId="4" applyFont="1" applyAlignment="1">
      <alignment horizontal="center" vertical="center"/>
    </xf>
    <xf numFmtId="2" fontId="11" fillId="0" borderId="0" xfId="1" applyNumberFormat="1" applyFont="1" applyAlignment="1" applyProtection="1">
      <alignment vertical="center"/>
    </xf>
    <xf numFmtId="0" fontId="10" fillId="0" borderId="0" xfId="0" applyFont="1" applyAlignment="1">
      <alignment horizontal="center"/>
    </xf>
    <xf numFmtId="2" fontId="11" fillId="0" borderId="0" xfId="4" applyNumberFormat="1" applyFont="1" applyAlignment="1">
      <alignment vertical="center"/>
    </xf>
    <xf numFmtId="0" fontId="11" fillId="0" borderId="0" xfId="4" applyFont="1" applyAlignment="1">
      <alignment horizontal="left" vertical="center"/>
    </xf>
    <xf numFmtId="0" fontId="23" fillId="0" borderId="0" xfId="4" applyFont="1" applyAlignment="1">
      <alignment vertical="center"/>
    </xf>
    <xf numFmtId="0" fontId="10" fillId="0" borderId="0" xfId="0" applyFont="1" applyAlignment="1">
      <alignment vertical="center"/>
    </xf>
    <xf numFmtId="0" fontId="11" fillId="0" borderId="0" xfId="0" applyFont="1"/>
    <xf numFmtId="15" fontId="11" fillId="0" borderId="0" xfId="4" applyNumberFormat="1" applyFont="1" applyAlignment="1">
      <alignment vertical="center"/>
    </xf>
    <xf numFmtId="15" fontId="11" fillId="0" borderId="0" xfId="4" applyNumberFormat="1" applyFont="1" applyAlignment="1">
      <alignment horizontal="center" vertical="center"/>
    </xf>
    <xf numFmtId="0" fontId="24" fillId="0" borderId="0" xfId="0" applyFont="1" applyAlignment="1">
      <alignment horizontal="left" vertical="center" wrapText="1" readingOrder="1"/>
    </xf>
    <xf numFmtId="0" fontId="5" fillId="0" borderId="0" xfId="0" applyFont="1"/>
    <xf numFmtId="0" fontId="9" fillId="0" borderId="0" xfId="0" applyFont="1"/>
    <xf numFmtId="0" fontId="6" fillId="0" borderId="0" xfId="0" applyFont="1" applyAlignment="1">
      <alignment horizontal="right"/>
    </xf>
    <xf numFmtId="0" fontId="9" fillId="0" borderId="0" xfId="0" applyFont="1" applyAlignment="1">
      <alignment horizontal="center" vertical="center"/>
    </xf>
    <xf numFmtId="0" fontId="13" fillId="0" borderId="0" xfId="3" applyFont="1" applyAlignment="1">
      <alignment vertical="center" wrapText="1"/>
    </xf>
    <xf numFmtId="0" fontId="14" fillId="0" borderId="0" xfId="3" applyFont="1"/>
    <xf numFmtId="0" fontId="15" fillId="0" borderId="0" xfId="3" applyFont="1"/>
    <xf numFmtId="0" fontId="34" fillId="0" borderId="0" xfId="3" applyFont="1" applyAlignment="1">
      <alignment horizontal="center" vertical="center"/>
    </xf>
    <xf numFmtId="0" fontId="12" fillId="0" borderId="0" xfId="3" applyFont="1"/>
    <xf numFmtId="0" fontId="6" fillId="0" borderId="7" xfId="0" applyFont="1" applyBorder="1" applyProtection="1">
      <protection locked="0"/>
    </xf>
    <xf numFmtId="0" fontId="10" fillId="0" borderId="0" xfId="0" applyFont="1" applyAlignment="1">
      <alignment horizontal="center" vertical="center"/>
    </xf>
    <xf numFmtId="0" fontId="40" fillId="0" borderId="0" xfId="0" applyFont="1" applyAlignment="1">
      <alignment horizontal="center" vertical="center"/>
    </xf>
    <xf numFmtId="49" fontId="40" fillId="0" borderId="33" xfId="0" applyNumberFormat="1" applyFont="1" applyBorder="1" applyAlignment="1">
      <alignment horizontal="center" vertical="center"/>
    </xf>
    <xf numFmtId="0" fontId="40" fillId="0" borderId="33" xfId="0" applyFont="1" applyBorder="1" applyAlignment="1">
      <alignment horizontal="left" vertical="center"/>
    </xf>
    <xf numFmtId="0" fontId="40" fillId="0" borderId="34" xfId="0" applyFont="1" applyBorder="1" applyAlignment="1">
      <alignment horizontal="center" vertical="center"/>
    </xf>
    <xf numFmtId="0" fontId="40" fillId="0" borderId="0" xfId="0" applyFont="1" applyAlignment="1">
      <alignment horizontal="left" vertical="center"/>
    </xf>
    <xf numFmtId="1" fontId="6" fillId="0" borderId="0" xfId="0" applyNumberFormat="1" applyFont="1"/>
    <xf numFmtId="0" fontId="9" fillId="0" borderId="1" xfId="0" applyFont="1" applyBorder="1" applyAlignment="1">
      <alignment horizontal="center" vertical="center"/>
    </xf>
    <xf numFmtId="0" fontId="6" fillId="0" borderId="0" xfId="0" applyFont="1" applyAlignment="1">
      <alignment horizontal="center" vertical="center"/>
    </xf>
    <xf numFmtId="0" fontId="6" fillId="0" borderId="24" xfId="0" applyFont="1" applyBorder="1" applyAlignment="1">
      <alignment horizontal="center"/>
    </xf>
    <xf numFmtId="0" fontId="6" fillId="0" borderId="25" xfId="0" applyFont="1" applyBorder="1" applyAlignment="1">
      <alignment horizontal="center"/>
    </xf>
    <xf numFmtId="0" fontId="6" fillId="0" borderId="26" xfId="0" applyFont="1" applyBorder="1" applyAlignment="1">
      <alignment horizontal="center"/>
    </xf>
    <xf numFmtId="0" fontId="6" fillId="0" borderId="27" xfId="0" applyFont="1" applyBorder="1" applyAlignment="1">
      <alignment horizontal="center"/>
    </xf>
    <xf numFmtId="0" fontId="6" fillId="0" borderId="1" xfId="0" applyFont="1" applyBorder="1"/>
    <xf numFmtId="0" fontId="6" fillId="0" borderId="1" xfId="0" applyFont="1" applyBorder="1" applyAlignment="1">
      <alignment horizontal="center"/>
    </xf>
    <xf numFmtId="165" fontId="6" fillId="0" borderId="1" xfId="0" applyNumberFormat="1" applyFont="1" applyBorder="1" applyAlignment="1">
      <alignment horizontal="center"/>
    </xf>
    <xf numFmtId="0" fontId="6" fillId="0" borderId="28" xfId="0" applyFont="1" applyBorder="1" applyAlignment="1">
      <alignment horizontal="center"/>
    </xf>
    <xf numFmtId="2" fontId="9" fillId="0" borderId="0" xfId="0" applyNumberFormat="1" applyFont="1" applyAlignment="1">
      <alignment horizontal="center" vertical="center"/>
    </xf>
    <xf numFmtId="1" fontId="9" fillId="0" borderId="0" xfId="0" applyNumberFormat="1" applyFont="1" applyAlignment="1">
      <alignment horizontal="center" vertical="center"/>
    </xf>
    <xf numFmtId="0" fontId="6" fillId="0" borderId="29" xfId="0" applyFont="1" applyBorder="1" applyAlignment="1">
      <alignment horizontal="center"/>
    </xf>
    <xf numFmtId="0" fontId="6" fillId="0" borderId="30" xfId="0" applyFont="1" applyBorder="1"/>
    <xf numFmtId="0" fontId="6" fillId="0" borderId="30" xfId="0" applyFont="1" applyBorder="1" applyAlignment="1">
      <alignment horizontal="center"/>
    </xf>
    <xf numFmtId="165" fontId="6" fillId="0" borderId="30" xfId="0" applyNumberFormat="1" applyFont="1" applyBorder="1" applyAlignment="1">
      <alignment horizontal="center"/>
    </xf>
    <xf numFmtId="0" fontId="6" fillId="0" borderId="31" xfId="0" applyFont="1" applyBorder="1" applyAlignment="1">
      <alignment horizontal="center"/>
    </xf>
    <xf numFmtId="0" fontId="6" fillId="0" borderId="8" xfId="0" applyFont="1" applyBorder="1" applyProtection="1">
      <protection locked="0"/>
    </xf>
    <xf numFmtId="0" fontId="6" fillId="0" borderId="9" xfId="0" applyFont="1" applyBorder="1" applyProtection="1">
      <protection locked="0"/>
    </xf>
    <xf numFmtId="0" fontId="6" fillId="0" borderId="0" xfId="0" applyFont="1" applyAlignment="1">
      <alignment horizontal="center"/>
    </xf>
    <xf numFmtId="0" fontId="6" fillId="0" borderId="0" xfId="0" applyFont="1" applyAlignment="1">
      <alignment wrapText="1"/>
    </xf>
    <xf numFmtId="0" fontId="6" fillId="0" borderId="0" xfId="0" applyFont="1" applyAlignment="1">
      <alignment horizontal="center" wrapText="1"/>
    </xf>
    <xf numFmtId="0" fontId="9" fillId="0" borderId="1" xfId="0" applyFont="1" applyBorder="1" applyAlignment="1">
      <alignment horizontal="center"/>
    </xf>
    <xf numFmtId="0" fontId="41" fillId="0" borderId="0" xfId="0" applyFont="1" applyAlignment="1">
      <alignment horizontal="center"/>
    </xf>
    <xf numFmtId="0" fontId="41" fillId="9" borderId="0" xfId="0" applyFont="1" applyFill="1" applyAlignment="1">
      <alignment horizontal="center"/>
    </xf>
    <xf numFmtId="0" fontId="6" fillId="9" borderId="0" xfId="0" applyFont="1" applyFill="1" applyAlignment="1">
      <alignment horizontal="center"/>
    </xf>
    <xf numFmtId="165" fontId="41" fillId="0" borderId="0" xfId="0" applyNumberFormat="1" applyFont="1" applyAlignment="1">
      <alignment horizontal="center"/>
    </xf>
    <xf numFmtId="165" fontId="6" fillId="0" borderId="0" xfId="0" applyNumberFormat="1" applyFont="1"/>
    <xf numFmtId="2" fontId="9" fillId="0" borderId="1" xfId="0" applyNumberFormat="1" applyFont="1" applyBorder="1" applyAlignment="1">
      <alignment horizontal="center" vertical="center"/>
    </xf>
    <xf numFmtId="49" fontId="40" fillId="0" borderId="34" xfId="0" applyNumberFormat="1" applyFont="1" applyBorder="1" applyAlignment="1">
      <alignment horizontal="center" vertical="center"/>
    </xf>
    <xf numFmtId="0" fontId="44" fillId="0" borderId="0" xfId="4" applyFont="1" applyAlignment="1">
      <alignment vertical="center"/>
    </xf>
    <xf numFmtId="0" fontId="44" fillId="0" borderId="0" xfId="4" applyFont="1" applyAlignment="1">
      <alignment horizontal="center" vertical="center"/>
    </xf>
    <xf numFmtId="0" fontId="13" fillId="0" borderId="0" xfId="0" applyFont="1" applyAlignment="1">
      <alignment horizontal="center" vertical="center"/>
    </xf>
    <xf numFmtId="0" fontId="14" fillId="0" borderId="0" xfId="0" applyFont="1" applyAlignment="1">
      <alignment horizontal="center" vertical="center"/>
    </xf>
    <xf numFmtId="0" fontId="14" fillId="0" borderId="0" xfId="0" applyFont="1" applyAlignment="1" applyProtection="1">
      <alignment horizontal="center" vertical="center"/>
      <protection locked="0"/>
    </xf>
    <xf numFmtId="0" fontId="44" fillId="0" borderId="0" xfId="0" applyFont="1" applyAlignment="1">
      <alignment horizontal="center" vertical="center"/>
    </xf>
    <xf numFmtId="0" fontId="47" fillId="0" borderId="0" xfId="0" applyFont="1" applyAlignment="1">
      <alignment horizontal="center" vertical="center"/>
    </xf>
    <xf numFmtId="0" fontId="46" fillId="0" borderId="0" xfId="0" applyFont="1" applyAlignment="1">
      <alignment horizontal="center" vertical="center"/>
    </xf>
    <xf numFmtId="0" fontId="46" fillId="0" borderId="0" xfId="4" applyFont="1" applyAlignment="1">
      <alignment horizontal="center" vertical="center"/>
    </xf>
    <xf numFmtId="0" fontId="47" fillId="0" borderId="0" xfId="4" applyFont="1" applyAlignment="1">
      <alignment vertical="center"/>
    </xf>
    <xf numFmtId="0" fontId="46" fillId="0" borderId="0" xfId="4" applyFont="1" applyAlignment="1">
      <alignment vertical="center"/>
    </xf>
    <xf numFmtId="0" fontId="46" fillId="0" borderId="0" xfId="0" applyFont="1"/>
    <xf numFmtId="0" fontId="46" fillId="0" borderId="0" xfId="2" applyFont="1"/>
    <xf numFmtId="0" fontId="44" fillId="0" borderId="0" xfId="0" applyFont="1"/>
    <xf numFmtId="0" fontId="44" fillId="0" borderId="0" xfId="5" applyFont="1" applyAlignment="1">
      <alignment horizontal="center" vertical="center"/>
    </xf>
    <xf numFmtId="49" fontId="44" fillId="0" borderId="0" xfId="4" applyNumberFormat="1" applyFont="1" applyAlignment="1">
      <alignment horizontal="center" vertical="center"/>
    </xf>
    <xf numFmtId="0" fontId="45" fillId="0" borderId="0" xfId="5" applyFont="1" applyAlignment="1">
      <alignment horizontal="center" vertical="center"/>
    </xf>
    <xf numFmtId="167" fontId="14" fillId="0" borderId="0" xfId="0" applyNumberFormat="1" applyFont="1" applyAlignment="1">
      <alignment horizontal="center" vertical="center"/>
    </xf>
    <xf numFmtId="0" fontId="46" fillId="0" borderId="1" xfId="0" applyFont="1" applyBorder="1" applyAlignment="1">
      <alignment horizontal="center" vertical="center"/>
    </xf>
    <xf numFmtId="0" fontId="14" fillId="0" borderId="0" xfId="3" applyFont="1" applyAlignment="1">
      <alignment vertical="center"/>
    </xf>
    <xf numFmtId="0" fontId="14" fillId="0" borderId="0" xfId="3" applyFont="1" applyAlignment="1">
      <alignment horizontal="center" vertical="center"/>
    </xf>
    <xf numFmtId="0" fontId="46" fillId="0" borderId="0" xfId="3" applyFont="1" applyAlignment="1">
      <alignment horizontal="center" vertical="center"/>
    </xf>
    <xf numFmtId="0" fontId="46" fillId="0" borderId="0" xfId="3" applyFont="1" applyAlignment="1">
      <alignment vertical="center"/>
    </xf>
    <xf numFmtId="0" fontId="54" fillId="0" borderId="0" xfId="3" applyFont="1" applyAlignment="1">
      <alignment vertical="center" wrapText="1"/>
    </xf>
    <xf numFmtId="0" fontId="54" fillId="0" borderId="0" xfId="3" applyFont="1" applyAlignment="1">
      <alignment horizontal="center" vertical="center" wrapText="1"/>
    </xf>
    <xf numFmtId="1" fontId="54" fillId="0" borderId="0" xfId="3" applyNumberFormat="1" applyFont="1" applyAlignment="1">
      <alignment horizontal="center" vertical="center" wrapText="1"/>
    </xf>
    <xf numFmtId="0" fontId="53" fillId="0" borderId="32" xfId="3" applyFont="1" applyBorder="1" applyAlignment="1">
      <alignment horizontal="center" vertical="center" wrapText="1"/>
    </xf>
    <xf numFmtId="0" fontId="15" fillId="0" borderId="32" xfId="3" applyFont="1" applyBorder="1" applyAlignment="1">
      <alignment horizontal="center" vertical="center"/>
    </xf>
    <xf numFmtId="165" fontId="15" fillId="0" borderId="32" xfId="3" applyNumberFormat="1" applyFont="1" applyBorder="1" applyAlignment="1">
      <alignment horizontal="center" vertical="center"/>
    </xf>
    <xf numFmtId="0" fontId="53" fillId="0" borderId="33" xfId="3" applyFont="1" applyBorder="1" applyAlignment="1">
      <alignment horizontal="center" vertical="center" wrapText="1"/>
    </xf>
    <xf numFmtId="0" fontId="15" fillId="0" borderId="33" xfId="3" applyFont="1" applyBorder="1" applyAlignment="1">
      <alignment horizontal="center" vertical="center"/>
    </xf>
    <xf numFmtId="165" fontId="15" fillId="0" borderId="33" xfId="3" applyNumberFormat="1" applyFont="1" applyBorder="1" applyAlignment="1">
      <alignment horizontal="center" vertical="center"/>
    </xf>
    <xf numFmtId="0" fontId="15" fillId="0" borderId="34" xfId="3" applyFont="1" applyBorder="1" applyAlignment="1">
      <alignment horizontal="center" vertical="center"/>
    </xf>
    <xf numFmtId="165" fontId="15" fillId="0" borderId="34" xfId="3" applyNumberFormat="1" applyFont="1" applyBorder="1" applyAlignment="1">
      <alignment horizontal="center" vertical="center"/>
    </xf>
    <xf numFmtId="0" fontId="55" fillId="0" borderId="35" xfId="3" applyFont="1" applyBorder="1" applyAlignment="1">
      <alignment horizontal="center" vertical="center" wrapText="1"/>
    </xf>
    <xf numFmtId="0" fontId="15" fillId="0" borderId="35" xfId="3" applyFont="1" applyBorder="1" applyAlignment="1">
      <alignment vertical="center" wrapText="1"/>
    </xf>
    <xf numFmtId="0" fontId="55" fillId="0" borderId="34" xfId="3" applyFont="1" applyBorder="1" applyAlignment="1">
      <alignment horizontal="center" vertical="center" wrapText="1"/>
    </xf>
    <xf numFmtId="0" fontId="15" fillId="0" borderId="34" xfId="3" applyFont="1" applyBorder="1" applyAlignment="1">
      <alignment vertical="center" wrapText="1"/>
    </xf>
    <xf numFmtId="0" fontId="12" fillId="0" borderId="0" xfId="3" applyFont="1" applyAlignment="1">
      <alignment vertical="center"/>
    </xf>
    <xf numFmtId="0" fontId="12" fillId="0" borderId="0" xfId="3" applyFont="1" applyAlignment="1">
      <alignment horizontal="center" vertical="center"/>
    </xf>
    <xf numFmtId="0" fontId="15" fillId="0" borderId="0" xfId="3" applyFont="1" applyAlignment="1">
      <alignment vertical="center"/>
    </xf>
    <xf numFmtId="0" fontId="15" fillId="0" borderId="0" xfId="3" applyFont="1" applyAlignment="1">
      <alignment horizontal="center" vertical="center"/>
    </xf>
    <xf numFmtId="0" fontId="50" fillId="0" borderId="0" xfId="3" applyFont="1"/>
    <xf numFmtId="0" fontId="46" fillId="0" borderId="0" xfId="3" applyFont="1"/>
    <xf numFmtId="2" fontId="14" fillId="0" borderId="0" xfId="3" applyNumberFormat="1" applyFont="1" applyAlignment="1">
      <alignment vertical="center"/>
    </xf>
    <xf numFmtId="0" fontId="55" fillId="0" borderId="0" xfId="3" applyFont="1" applyAlignment="1">
      <alignment horizontal="right" vertical="top" wrapText="1"/>
    </xf>
    <xf numFmtId="0" fontId="56" fillId="0" borderId="0" xfId="3" applyFont="1" applyAlignment="1">
      <alignment horizontal="center" vertical="top" wrapText="1"/>
    </xf>
    <xf numFmtId="0" fontId="54" fillId="0" borderId="0" xfId="3" applyFont="1" applyAlignment="1">
      <alignment horizontal="center" vertical="top" wrapText="1"/>
    </xf>
    <xf numFmtId="2" fontId="54" fillId="0" borderId="0" xfId="3" applyNumberFormat="1" applyFont="1" applyAlignment="1">
      <alignment horizontal="center" vertical="top" wrapText="1"/>
    </xf>
    <xf numFmtId="0" fontId="56" fillId="0" borderId="0" xfId="3" applyFont="1" applyAlignment="1">
      <alignment vertical="top" wrapText="1"/>
    </xf>
    <xf numFmtId="2" fontId="56" fillId="0" borderId="0" xfId="3" applyNumberFormat="1" applyFont="1" applyAlignment="1">
      <alignment horizontal="center" vertical="top" wrapText="1"/>
    </xf>
    <xf numFmtId="0" fontId="56" fillId="0" borderId="0" xfId="3" applyFont="1"/>
    <xf numFmtId="0" fontId="55" fillId="0" borderId="0" xfId="3" applyFont="1" applyAlignment="1">
      <alignment horizontal="center"/>
    </xf>
    <xf numFmtId="0" fontId="57" fillId="0" borderId="0" xfId="3" applyFont="1" applyAlignment="1">
      <alignment horizontal="center"/>
    </xf>
    <xf numFmtId="0" fontId="14" fillId="0" borderId="0" xfId="3" applyFont="1" applyAlignment="1">
      <alignment vertical="center" wrapText="1"/>
    </xf>
    <xf numFmtId="0" fontId="26" fillId="0" borderId="22" xfId="3" applyFont="1" applyBorder="1" applyAlignment="1">
      <alignment vertical="center" wrapText="1"/>
    </xf>
    <xf numFmtId="0" fontId="59" fillId="0" borderId="0" xfId="3" applyFont="1" applyAlignment="1">
      <alignment vertical="center" wrapText="1"/>
    </xf>
    <xf numFmtId="0" fontId="59" fillId="0" borderId="38" xfId="3" applyFont="1" applyBorder="1" applyAlignment="1">
      <alignment vertical="center" wrapText="1"/>
    </xf>
    <xf numFmtId="0" fontId="25" fillId="0" borderId="0" xfId="3" applyFont="1" applyAlignment="1">
      <alignment vertical="center"/>
    </xf>
    <xf numFmtId="0" fontId="26" fillId="0" borderId="0" xfId="3" applyFont="1" applyAlignment="1">
      <alignment vertical="center"/>
    </xf>
    <xf numFmtId="0" fontId="27" fillId="0" borderId="0" xfId="3" applyFont="1" applyAlignment="1">
      <alignment vertical="center" wrapText="1"/>
    </xf>
    <xf numFmtId="0" fontId="28" fillId="0" borderId="0" xfId="3" applyFont="1" applyAlignment="1">
      <alignment vertical="center"/>
    </xf>
    <xf numFmtId="0" fontId="29" fillId="0" borderId="0" xfId="3" applyFont="1" applyAlignment="1">
      <alignment vertical="center"/>
    </xf>
    <xf numFmtId="0" fontId="30" fillId="0" borderId="0" xfId="3" applyFont="1" applyAlignment="1">
      <alignment horizontal="center" vertical="center"/>
    </xf>
    <xf numFmtId="0" fontId="31" fillId="0" borderId="0" xfId="3" applyFont="1" applyAlignment="1">
      <alignment vertical="center"/>
    </xf>
    <xf numFmtId="0" fontId="32" fillId="0" borderId="0" xfId="3" applyFont="1" applyAlignment="1">
      <alignment horizontal="center" vertical="center"/>
    </xf>
    <xf numFmtId="0" fontId="33" fillId="0" borderId="0" xfId="3" applyFont="1" applyAlignment="1">
      <alignment vertical="center"/>
    </xf>
    <xf numFmtId="0" fontId="15" fillId="0" borderId="36" xfId="3" applyFont="1" applyBorder="1" applyAlignment="1">
      <alignment vertical="center"/>
    </xf>
    <xf numFmtId="0" fontId="16" fillId="0" borderId="36" xfId="3" applyFont="1" applyBorder="1" applyAlignment="1">
      <alignment horizontal="right" vertical="center"/>
    </xf>
    <xf numFmtId="0" fontId="14" fillId="0" borderId="37" xfId="3" applyFont="1" applyBorder="1" applyAlignment="1">
      <alignment vertical="center"/>
    </xf>
    <xf numFmtId="0" fontId="16" fillId="0" borderId="0" xfId="3" applyFont="1" applyAlignment="1">
      <alignment horizontal="right" vertical="center"/>
    </xf>
    <xf numFmtId="0" fontId="14" fillId="0" borderId="38" xfId="3" applyFont="1" applyBorder="1" applyAlignment="1">
      <alignment vertical="center"/>
    </xf>
    <xf numFmtId="0" fontId="14" fillId="0" borderId="39" xfId="3" applyFont="1" applyBorder="1" applyAlignment="1">
      <alignment vertical="center"/>
    </xf>
    <xf numFmtId="0" fontId="14" fillId="0" borderId="40" xfId="3" applyFont="1" applyBorder="1" applyAlignment="1">
      <alignment vertical="center"/>
    </xf>
    <xf numFmtId="0" fontId="14" fillId="0" borderId="41" xfId="3" applyFont="1" applyBorder="1" applyAlignment="1">
      <alignment vertical="center"/>
    </xf>
    <xf numFmtId="0" fontId="26" fillId="0" borderId="0" xfId="3" applyFont="1" applyAlignment="1">
      <alignment vertical="center" wrapText="1"/>
    </xf>
    <xf numFmtId="0" fontId="35" fillId="0" borderId="22" xfId="3" applyFont="1" applyBorder="1" applyAlignment="1">
      <alignment horizontal="right" vertical="center"/>
    </xf>
    <xf numFmtId="0" fontId="20" fillId="0" borderId="39" xfId="3" applyFont="1" applyBorder="1" applyAlignment="1">
      <alignment vertical="center"/>
    </xf>
    <xf numFmtId="0" fontId="20" fillId="0" borderId="40" xfId="3" applyFont="1" applyBorder="1" applyAlignment="1">
      <alignment vertical="center"/>
    </xf>
    <xf numFmtId="0" fontId="20" fillId="0" borderId="41" xfId="3" applyFont="1" applyBorder="1" applyAlignment="1">
      <alignment vertical="center"/>
    </xf>
    <xf numFmtId="0" fontId="20" fillId="0" borderId="0" xfId="3" applyFont="1" applyAlignment="1">
      <alignment vertical="center"/>
    </xf>
    <xf numFmtId="0" fontId="25" fillId="0" borderId="0" xfId="3" applyFont="1" applyAlignment="1">
      <alignment vertical="center" wrapText="1"/>
    </xf>
    <xf numFmtId="0" fontId="36" fillId="0" borderId="0" xfId="3" applyFont="1" applyAlignment="1">
      <alignment vertical="center" wrapText="1"/>
    </xf>
    <xf numFmtId="0" fontId="35" fillId="0" borderId="22" xfId="3" applyFont="1" applyBorder="1" applyAlignment="1">
      <alignment horizontal="right" vertical="center" wrapText="1"/>
    </xf>
    <xf numFmtId="0" fontId="37" fillId="0" borderId="0" xfId="3" applyFont="1" applyAlignment="1">
      <alignment vertical="center" wrapText="1"/>
    </xf>
    <xf numFmtId="0" fontId="14" fillId="0" borderId="42" xfId="3" applyFont="1" applyBorder="1" applyAlignment="1">
      <alignment vertical="center"/>
    </xf>
    <xf numFmtId="0" fontId="14" fillId="0" borderId="36" xfId="3" applyFont="1" applyBorder="1" applyAlignment="1">
      <alignment vertical="center"/>
    </xf>
    <xf numFmtId="0" fontId="14" fillId="0" borderId="43" xfId="3" applyFont="1" applyBorder="1" applyAlignment="1">
      <alignment vertical="center"/>
    </xf>
    <xf numFmtId="0" fontId="14" fillId="0" borderId="44" xfId="3" applyFont="1" applyBorder="1" applyAlignment="1">
      <alignment vertical="center"/>
    </xf>
    <xf numFmtId="0" fontId="16" fillId="0" borderId="22" xfId="3" applyFont="1" applyBorder="1" applyAlignment="1">
      <alignment horizontal="right" vertical="center"/>
    </xf>
    <xf numFmtId="0" fontId="14" fillId="0" borderId="2" xfId="3" applyFont="1" applyBorder="1" applyAlignment="1">
      <alignment vertical="center"/>
    </xf>
    <xf numFmtId="0" fontId="14" fillId="0" borderId="3" xfId="3" applyFont="1" applyBorder="1" applyAlignment="1">
      <alignment vertical="center"/>
    </xf>
    <xf numFmtId="0" fontId="25" fillId="0" borderId="22" xfId="3" applyFont="1" applyBorder="1" applyAlignment="1">
      <alignment vertical="center" wrapText="1"/>
    </xf>
    <xf numFmtId="0" fontId="14" fillId="0" borderId="22" xfId="3" applyFont="1" applyBorder="1" applyAlignment="1">
      <alignment vertical="center"/>
    </xf>
    <xf numFmtId="0" fontId="14" fillId="0" borderId="39" xfId="3" applyFont="1" applyBorder="1" applyAlignment="1">
      <alignment vertical="center" wrapText="1"/>
    </xf>
    <xf numFmtId="0" fontId="14" fillId="0" borderId="46" xfId="3" applyFont="1" applyBorder="1" applyAlignment="1">
      <alignment vertical="center"/>
    </xf>
    <xf numFmtId="0" fontId="14" fillId="0" borderId="47" xfId="3" applyFont="1" applyBorder="1" applyAlignment="1">
      <alignment vertical="center"/>
    </xf>
    <xf numFmtId="0" fontId="63" fillId="0" borderId="36" xfId="3" applyFont="1" applyBorder="1" applyAlignment="1">
      <alignment vertical="center"/>
    </xf>
    <xf numFmtId="0" fontId="63" fillId="0" borderId="37" xfId="3" applyFont="1" applyBorder="1" applyAlignment="1">
      <alignment vertical="center"/>
    </xf>
    <xf numFmtId="49" fontId="40" fillId="0" borderId="33" xfId="0" applyNumberFormat="1" applyFont="1" applyBorder="1" applyAlignment="1">
      <alignment horizontal="left" vertical="center"/>
    </xf>
    <xf numFmtId="0" fontId="40" fillId="0" borderId="34" xfId="0" applyFont="1" applyBorder="1" applyAlignment="1">
      <alignment horizontal="left" vertical="center"/>
    </xf>
    <xf numFmtId="165" fontId="6" fillId="0" borderId="0" xfId="0" applyNumberFormat="1" applyFont="1" applyAlignment="1">
      <alignment horizontal="center"/>
    </xf>
    <xf numFmtId="1" fontId="9" fillId="0" borderId="1" xfId="0" applyNumberFormat="1" applyFont="1" applyBorder="1" applyAlignment="1">
      <alignment horizontal="center" vertical="center"/>
    </xf>
    <xf numFmtId="0" fontId="6" fillId="0" borderId="0" xfId="0" applyFont="1" applyAlignment="1">
      <alignment horizontal="left"/>
    </xf>
    <xf numFmtId="0" fontId="67" fillId="0" borderId="0" xfId="7" applyFont="1"/>
    <xf numFmtId="0" fontId="1" fillId="0" borderId="0" xfId="7"/>
    <xf numFmtId="0" fontId="1" fillId="0" borderId="0" xfId="7" applyAlignment="1">
      <alignment vertical="center"/>
    </xf>
    <xf numFmtId="0" fontId="72" fillId="0" borderId="0" xfId="7" applyFont="1"/>
    <xf numFmtId="0" fontId="66" fillId="0" borderId="0" xfId="7" applyFont="1"/>
    <xf numFmtId="0" fontId="77" fillId="0" borderId="1" xfId="7" applyFont="1" applyBorder="1" applyAlignment="1">
      <alignment horizontal="center" vertical="top" wrapText="1"/>
    </xf>
    <xf numFmtId="0" fontId="78" fillId="0" borderId="1" xfId="7" applyFont="1" applyBorder="1" applyAlignment="1">
      <alignment vertical="top" wrapText="1"/>
    </xf>
    <xf numFmtId="0" fontId="79" fillId="0" borderId="1" xfId="8" applyBorder="1" applyAlignment="1" applyProtection="1">
      <alignment vertical="top" wrapText="1"/>
    </xf>
    <xf numFmtId="0" fontId="83" fillId="0" borderId="0" xfId="7" applyFont="1"/>
    <xf numFmtId="0" fontId="66" fillId="0" borderId="1" xfId="7" applyFont="1" applyBorder="1" applyAlignment="1">
      <alignment vertical="top" wrapText="1"/>
    </xf>
    <xf numFmtId="0" fontId="85" fillId="0" borderId="0" xfId="7" applyFont="1"/>
    <xf numFmtId="0" fontId="86" fillId="0" borderId="0" xfId="7" applyFont="1"/>
    <xf numFmtId="0" fontId="74" fillId="0" borderId="1" xfId="7" applyFont="1" applyBorder="1" applyAlignment="1">
      <alignment horizontal="center" vertical="center" wrapText="1"/>
    </xf>
    <xf numFmtId="0" fontId="73" fillId="0" borderId="1" xfId="7" applyFont="1" applyBorder="1" applyAlignment="1">
      <alignment horizontal="center" vertical="center" wrapText="1"/>
    </xf>
    <xf numFmtId="0" fontId="84" fillId="0" borderId="0" xfId="7" applyFont="1"/>
    <xf numFmtId="0" fontId="84" fillId="0" borderId="0" xfId="7" applyFont="1" applyAlignment="1">
      <alignment vertical="center"/>
    </xf>
    <xf numFmtId="0" fontId="71" fillId="0" borderId="1" xfId="7" applyFont="1" applyBorder="1" applyAlignment="1">
      <alignment horizontal="center" vertical="center" wrapText="1"/>
    </xf>
    <xf numFmtId="0" fontId="80" fillId="0" borderId="1" xfId="7" applyFont="1" applyBorder="1" applyAlignment="1">
      <alignment vertical="center" wrapText="1"/>
    </xf>
    <xf numFmtId="0" fontId="79" fillId="0" borderId="1" xfId="8" applyBorder="1" applyAlignment="1" applyProtection="1">
      <alignment horizontal="center" vertical="center" wrapText="1"/>
    </xf>
    <xf numFmtId="0" fontId="81" fillId="0" borderId="1" xfId="7" applyFont="1" applyBorder="1" applyAlignment="1">
      <alignment horizontal="center" vertical="center" wrapText="1"/>
    </xf>
    <xf numFmtId="1" fontId="73" fillId="0" borderId="1" xfId="7" applyNumberFormat="1" applyFont="1" applyBorder="1" applyAlignment="1">
      <alignment horizontal="center" vertical="center" wrapText="1"/>
    </xf>
    <xf numFmtId="165" fontId="73" fillId="0" borderId="1" xfId="7" applyNumberFormat="1" applyFont="1" applyBorder="1" applyAlignment="1">
      <alignment horizontal="center" vertical="center" wrapText="1"/>
    </xf>
    <xf numFmtId="0" fontId="77" fillId="0" borderId="1" xfId="7" applyFont="1" applyBorder="1" applyAlignment="1">
      <alignment vertical="center" wrapText="1"/>
    </xf>
    <xf numFmtId="0" fontId="82" fillId="0" borderId="1" xfId="7" applyFont="1" applyBorder="1" applyAlignment="1">
      <alignment vertical="center" wrapText="1"/>
    </xf>
    <xf numFmtId="0" fontId="9" fillId="0" borderId="1" xfId="0" applyFont="1" applyBorder="1" applyAlignment="1">
      <alignment horizontal="left" vertical="center"/>
    </xf>
    <xf numFmtId="0" fontId="9" fillId="0" borderId="0" xfId="0" applyFont="1" applyAlignment="1">
      <alignment horizontal="left"/>
    </xf>
    <xf numFmtId="0" fontId="9" fillId="0" borderId="0" xfId="0" applyFont="1" applyAlignment="1">
      <alignment horizontal="left" vertical="center"/>
    </xf>
    <xf numFmtId="0" fontId="9" fillId="0" borderId="1" xfId="0" applyFont="1" applyBorder="1" applyAlignment="1">
      <alignment horizontal="left"/>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90" fillId="0" borderId="0" xfId="0" applyFont="1" applyAlignment="1">
      <alignment vertical="center"/>
    </xf>
    <xf numFmtId="1" fontId="3" fillId="2" borderId="7" xfId="0" applyNumberFormat="1" applyFont="1" applyFill="1" applyBorder="1" applyAlignment="1">
      <alignment horizontal="center" vertical="center"/>
    </xf>
    <xf numFmtId="0" fontId="3" fillId="2" borderId="8"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9" xfId="0" applyFont="1" applyFill="1" applyBorder="1" applyAlignment="1">
      <alignment horizontal="center" vertical="center"/>
    </xf>
    <xf numFmtId="1" fontId="3" fillId="2" borderId="3" xfId="0" applyNumberFormat="1" applyFont="1" applyFill="1" applyBorder="1" applyAlignment="1">
      <alignment horizontal="center" vertical="center"/>
    </xf>
    <xf numFmtId="0" fontId="3" fillId="2" borderId="0" xfId="0" applyFont="1" applyFill="1" applyAlignment="1">
      <alignment horizontal="center" vertical="center"/>
    </xf>
    <xf numFmtId="0" fontId="3" fillId="2" borderId="3" xfId="0" applyFont="1" applyFill="1" applyBorder="1" applyAlignment="1">
      <alignment horizontal="center" vertical="center"/>
    </xf>
    <xf numFmtId="0" fontId="3" fillId="2" borderId="2" xfId="0" applyFont="1" applyFill="1" applyBorder="1" applyAlignment="1">
      <alignment horizontal="center" vertical="center"/>
    </xf>
    <xf numFmtId="0" fontId="88" fillId="0" borderId="0" xfId="0" applyFont="1" applyAlignment="1">
      <alignment vertical="center"/>
    </xf>
    <xf numFmtId="1" fontId="3" fillId="0" borderId="0" xfId="0" applyNumberFormat="1" applyFont="1" applyAlignment="1">
      <alignment horizontal="center" vertical="center"/>
    </xf>
    <xf numFmtId="165" fontId="3" fillId="2" borderId="3" xfId="0" applyNumberFormat="1" applyFont="1" applyFill="1" applyBorder="1" applyAlignment="1">
      <alignment horizontal="center" vertical="center"/>
    </xf>
    <xf numFmtId="0" fontId="20" fillId="0" borderId="48" xfId="0" applyFont="1" applyBorder="1" applyAlignment="1">
      <alignment horizontal="center" vertical="center"/>
    </xf>
    <xf numFmtId="0" fontId="63" fillId="7" borderId="1" xfId="0" applyFont="1" applyFill="1" applyBorder="1" applyAlignment="1" applyProtection="1">
      <alignment horizontal="center" vertical="center"/>
      <protection locked="0"/>
    </xf>
    <xf numFmtId="1" fontId="63" fillId="7" borderId="1" xfId="0" applyNumberFormat="1" applyFont="1" applyFill="1" applyBorder="1" applyAlignment="1" applyProtection="1">
      <alignment horizontal="center" vertical="center"/>
      <protection locked="0"/>
    </xf>
    <xf numFmtId="165" fontId="63" fillId="0" borderId="1" xfId="0" applyNumberFormat="1" applyFont="1" applyBorder="1" applyAlignment="1">
      <alignment horizontal="center" vertical="center"/>
    </xf>
    <xf numFmtId="2" fontId="63" fillId="7" borderId="1" xfId="0" applyNumberFormat="1" applyFont="1" applyFill="1" applyBorder="1" applyAlignment="1" applyProtection="1">
      <alignment horizontal="center" vertical="center"/>
      <protection locked="0"/>
    </xf>
    <xf numFmtId="2" fontId="91" fillId="0" borderId="1" xfId="1" applyNumberFormat="1" applyFont="1" applyFill="1" applyBorder="1" applyAlignment="1" applyProtection="1">
      <alignment horizontal="center" vertical="center"/>
    </xf>
    <xf numFmtId="0" fontId="91" fillId="0" borderId="1" xfId="4" applyFont="1" applyBorder="1" applyAlignment="1">
      <alignment horizontal="center" vertical="center"/>
    </xf>
    <xf numFmtId="2" fontId="63" fillId="0" borderId="1" xfId="0" applyNumberFormat="1" applyFont="1" applyBorder="1" applyAlignment="1">
      <alignment horizontal="center" vertical="center"/>
    </xf>
    <xf numFmtId="0" fontId="91" fillId="0" borderId="0" xfId="4" applyFont="1" applyAlignment="1">
      <alignment horizontal="center" vertical="center"/>
    </xf>
    <xf numFmtId="0" fontId="63" fillId="0" borderId="4" xfId="0" applyFont="1" applyBorder="1" applyAlignment="1">
      <alignment horizontal="center" vertical="center"/>
    </xf>
    <xf numFmtId="1" fontId="63" fillId="0" borderId="1" xfId="0" applyNumberFormat="1" applyFont="1" applyBorder="1" applyAlignment="1">
      <alignment horizontal="center" vertical="center"/>
    </xf>
    <xf numFmtId="0" fontId="92" fillId="2" borderId="0" xfId="0" applyFont="1" applyFill="1" applyAlignment="1">
      <alignment horizontal="center" vertical="center"/>
    </xf>
    <xf numFmtId="0" fontId="20" fillId="0" borderId="0" xfId="0" applyFont="1" applyAlignment="1">
      <alignment horizontal="center" vertical="center"/>
    </xf>
    <xf numFmtId="0" fontId="63" fillId="0" borderId="0" xfId="0" applyFont="1" applyAlignment="1">
      <alignment horizontal="center" vertical="center"/>
    </xf>
    <xf numFmtId="0" fontId="63" fillId="0" borderId="0" xfId="0" applyFont="1" applyAlignment="1" applyProtection="1">
      <alignment horizontal="center" vertical="center"/>
      <protection locked="0"/>
    </xf>
    <xf numFmtId="165" fontId="63" fillId="0" borderId="0" xfId="0" applyNumberFormat="1" applyFont="1" applyAlignment="1" applyProtection="1">
      <alignment horizontal="center" vertical="center"/>
      <protection locked="0"/>
    </xf>
    <xf numFmtId="2" fontId="63" fillId="0" borderId="0" xfId="0" applyNumberFormat="1" applyFont="1" applyAlignment="1">
      <alignment horizontal="center" vertical="center"/>
    </xf>
    <xf numFmtId="1" fontId="63" fillId="0" borderId="0" xfId="0" applyNumberFormat="1" applyFont="1" applyAlignment="1">
      <alignment horizontal="center" vertical="center"/>
    </xf>
    <xf numFmtId="1" fontId="91" fillId="0" borderId="0" xfId="1" applyNumberFormat="1" applyFont="1" applyFill="1" applyBorder="1" applyAlignment="1" applyProtection="1">
      <alignment horizontal="center" vertical="center"/>
    </xf>
    <xf numFmtId="0" fontId="91" fillId="0" borderId="36" xfId="4" applyFont="1" applyBorder="1" applyAlignment="1">
      <alignment horizontal="center" vertical="center"/>
    </xf>
    <xf numFmtId="165" fontId="93" fillId="2" borderId="0" xfId="0" applyNumberFormat="1" applyFont="1" applyFill="1" applyAlignment="1">
      <alignment horizontal="center" vertical="center"/>
    </xf>
    <xf numFmtId="0" fontId="3" fillId="0" borderId="0" xfId="0" applyFont="1" applyAlignment="1">
      <alignment horizontal="right" vertical="center"/>
    </xf>
    <xf numFmtId="0" fontId="89" fillId="2" borderId="0" xfId="0" applyFont="1" applyFill="1" applyAlignment="1">
      <alignment horizontal="center" vertical="center"/>
    </xf>
    <xf numFmtId="165" fontId="92" fillId="2" borderId="0" xfId="0" applyNumberFormat="1" applyFont="1" applyFill="1" applyAlignment="1">
      <alignment horizontal="center" vertical="center"/>
    </xf>
    <xf numFmtId="0" fontId="89" fillId="0" borderId="1" xfId="4" applyFont="1" applyBorder="1" applyAlignment="1">
      <alignment horizontal="center" vertical="center"/>
    </xf>
    <xf numFmtId="0" fontId="95" fillId="2" borderId="0" xfId="0" applyFont="1" applyFill="1" applyAlignment="1">
      <alignment horizontal="center" vertical="center"/>
    </xf>
    <xf numFmtId="0" fontId="88" fillId="0" borderId="0" xfId="0" applyFont="1" applyAlignment="1">
      <alignment horizontal="center" vertical="center"/>
    </xf>
    <xf numFmtId="169" fontId="3" fillId="0" borderId="0" xfId="0" applyNumberFormat="1" applyFont="1" applyAlignment="1">
      <alignment horizontal="center" vertical="center"/>
    </xf>
    <xf numFmtId="165" fontId="3" fillId="2" borderId="0" xfId="0" applyNumberFormat="1" applyFont="1" applyFill="1" applyAlignment="1">
      <alignment horizontal="center" vertical="center"/>
    </xf>
    <xf numFmtId="165" fontId="3" fillId="0" borderId="0" xfId="0" applyNumberFormat="1" applyFont="1" applyAlignment="1">
      <alignment horizontal="center" vertical="center"/>
    </xf>
    <xf numFmtId="165" fontId="89" fillId="2" borderId="0" xfId="0" applyNumberFormat="1" applyFont="1" applyFill="1" applyAlignment="1">
      <alignment horizontal="center" vertical="center"/>
    </xf>
    <xf numFmtId="0" fontId="3" fillId="3" borderId="3" xfId="0" applyFont="1" applyFill="1" applyBorder="1" applyAlignment="1">
      <alignment horizontal="center" vertical="center"/>
    </xf>
    <xf numFmtId="0" fontId="3" fillId="3" borderId="0" xfId="0" applyFont="1" applyFill="1" applyAlignment="1">
      <alignment horizontal="center" vertical="center"/>
    </xf>
    <xf numFmtId="0" fontId="3" fillId="3" borderId="2" xfId="0" applyFont="1" applyFill="1" applyBorder="1" applyAlignment="1">
      <alignment horizontal="center" vertical="center"/>
    </xf>
    <xf numFmtId="1" fontId="3" fillId="0" borderId="0" xfId="1" applyNumberFormat="1" applyFont="1" applyAlignment="1">
      <alignment horizontal="center" vertical="center"/>
    </xf>
    <xf numFmtId="168" fontId="3" fillId="0" borderId="0" xfId="0" applyNumberFormat="1" applyFont="1" applyAlignment="1">
      <alignment horizontal="center" vertical="center"/>
    </xf>
    <xf numFmtId="165" fontId="3" fillId="0" borderId="3" xfId="0" applyNumberFormat="1" applyFont="1" applyBorder="1" applyAlignment="1">
      <alignment horizontal="center" vertical="center"/>
    </xf>
    <xf numFmtId="2" fontId="63" fillId="0" borderId="0" xfId="0" applyNumberFormat="1" applyFont="1" applyAlignment="1" applyProtection="1">
      <alignment horizontal="center" vertical="center"/>
      <protection locked="0"/>
    </xf>
    <xf numFmtId="1" fontId="3" fillId="0" borderId="0" xfId="1" applyNumberFormat="1" applyFont="1" applyFill="1" applyBorder="1" applyAlignment="1" applyProtection="1">
      <alignment horizontal="center" vertical="center"/>
    </xf>
    <xf numFmtId="0" fontId="3" fillId="0" borderId="0" xfId="4" applyFont="1" applyAlignment="1">
      <alignment horizontal="center" vertical="center"/>
    </xf>
    <xf numFmtId="0" fontId="3" fillId="0" borderId="0" xfId="4" applyFont="1" applyAlignment="1" applyProtection="1">
      <alignment horizontal="center" vertical="center"/>
      <protection locked="0"/>
    </xf>
    <xf numFmtId="0" fontId="3" fillId="4" borderId="3" xfId="0" applyFont="1" applyFill="1" applyBorder="1" applyAlignment="1">
      <alignment horizontal="center" vertical="center"/>
    </xf>
    <xf numFmtId="0" fontId="3" fillId="4" borderId="0" xfId="0" applyFont="1" applyFill="1" applyAlignment="1">
      <alignment horizontal="center" vertical="center"/>
    </xf>
    <xf numFmtId="0" fontId="3" fillId="4" borderId="2" xfId="0" applyFont="1" applyFill="1" applyBorder="1" applyAlignment="1">
      <alignment horizontal="center" vertical="center"/>
    </xf>
    <xf numFmtId="0" fontId="92" fillId="4" borderId="0" xfId="0" applyFont="1" applyFill="1" applyAlignment="1">
      <alignment horizontal="center" vertical="center"/>
    </xf>
    <xf numFmtId="165" fontId="3" fillId="3" borderId="3" xfId="0" applyNumberFormat="1" applyFont="1" applyFill="1" applyBorder="1" applyAlignment="1">
      <alignment horizontal="center" vertical="center"/>
    </xf>
    <xf numFmtId="0" fontId="46" fillId="0" borderId="1" xfId="0" applyFont="1" applyBorder="1" applyAlignment="1" applyProtection="1">
      <alignment horizontal="center" vertical="center"/>
      <protection locked="0"/>
    </xf>
    <xf numFmtId="0" fontId="54" fillId="0" borderId="0" xfId="0" applyFont="1" applyAlignment="1">
      <alignment horizontal="center" vertical="center"/>
    </xf>
    <xf numFmtId="165" fontId="3" fillId="5" borderId="3" xfId="0" applyNumberFormat="1" applyFont="1" applyFill="1" applyBorder="1" applyAlignment="1">
      <alignment horizontal="center" vertical="center"/>
    </xf>
    <xf numFmtId="0" fontId="93" fillId="4" borderId="0" xfId="0" applyFont="1" applyFill="1" applyAlignment="1">
      <alignment horizontal="center" vertical="center"/>
    </xf>
    <xf numFmtId="0" fontId="95" fillId="3" borderId="0" xfId="0" applyFont="1" applyFill="1" applyAlignment="1">
      <alignment horizontal="center" vertical="center"/>
    </xf>
    <xf numFmtId="165" fontId="3" fillId="4" borderId="3" xfId="0" applyNumberFormat="1" applyFont="1" applyFill="1" applyBorder="1" applyAlignment="1">
      <alignment horizontal="center" vertical="center"/>
    </xf>
    <xf numFmtId="0" fontId="3" fillId="5" borderId="3" xfId="0" applyFont="1" applyFill="1" applyBorder="1" applyAlignment="1">
      <alignment horizontal="center" vertical="center"/>
    </xf>
    <xf numFmtId="0" fontId="3" fillId="5" borderId="0" xfId="0" applyFont="1" applyFill="1" applyAlignment="1">
      <alignment horizontal="center" vertical="center"/>
    </xf>
    <xf numFmtId="0" fontId="3" fillId="5" borderId="2" xfId="0" applyFont="1" applyFill="1" applyBorder="1" applyAlignment="1">
      <alignment horizontal="center" vertical="center"/>
    </xf>
    <xf numFmtId="0" fontId="93" fillId="5" borderId="0" xfId="0" applyFont="1" applyFill="1" applyAlignment="1">
      <alignment horizontal="center" vertical="center"/>
    </xf>
    <xf numFmtId="0" fontId="97" fillId="5" borderId="0" xfId="0" applyFont="1" applyFill="1" applyAlignment="1">
      <alignment horizontal="center" vertical="center"/>
    </xf>
    <xf numFmtId="0" fontId="98" fillId="5" borderId="0" xfId="0" applyFont="1" applyFill="1" applyAlignment="1">
      <alignment horizontal="center" vertical="center"/>
    </xf>
    <xf numFmtId="1" fontId="93" fillId="0" borderId="0" xfId="0" applyNumberFormat="1" applyFont="1" applyAlignment="1">
      <alignment horizontal="center" vertical="center"/>
    </xf>
    <xf numFmtId="0" fontId="93" fillId="0" borderId="0" xfId="0" applyFont="1" applyAlignment="1">
      <alignment horizontal="center" vertical="center"/>
    </xf>
    <xf numFmtId="165" fontId="3" fillId="6" borderId="0" xfId="0" applyNumberFormat="1" applyFont="1" applyFill="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165" fontId="2" fillId="0" borderId="0" xfId="0" applyNumberFormat="1" applyFont="1" applyAlignment="1">
      <alignment horizontal="center" vertical="center"/>
    </xf>
    <xf numFmtId="166" fontId="3" fillId="0" borderId="0" xfId="0" applyNumberFormat="1" applyFont="1" applyAlignment="1">
      <alignment horizontal="center" vertical="center"/>
    </xf>
    <xf numFmtId="0" fontId="2" fillId="0" borderId="0" xfId="0" applyFont="1" applyAlignment="1">
      <alignment vertical="center"/>
    </xf>
    <xf numFmtId="0" fontId="3" fillId="0" borderId="0" xfId="0" applyFont="1" applyAlignment="1">
      <alignment vertical="center"/>
    </xf>
    <xf numFmtId="0" fontId="89" fillId="0" borderId="0" xfId="0" applyFont="1" applyAlignment="1">
      <alignment vertical="center"/>
    </xf>
    <xf numFmtId="166" fontId="3" fillId="0" borderId="0" xfId="0" applyNumberFormat="1" applyFont="1" applyAlignment="1">
      <alignment vertical="center"/>
    </xf>
    <xf numFmtId="1" fontId="2" fillId="0" borderId="0" xfId="0" applyNumberFormat="1" applyFont="1" applyAlignment="1">
      <alignment vertical="center"/>
    </xf>
    <xf numFmtId="0" fontId="14" fillId="0" borderId="0" xfId="0" applyFont="1" applyAlignment="1">
      <alignment vertical="center"/>
    </xf>
    <xf numFmtId="0" fontId="3" fillId="0" borderId="10" xfId="0" applyFont="1" applyBorder="1" applyAlignment="1">
      <alignment horizontal="center" vertical="center"/>
    </xf>
    <xf numFmtId="0" fontId="3" fillId="0" borderId="19"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20"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91" fillId="0" borderId="0" xfId="0" applyFont="1" applyAlignment="1">
      <alignment vertical="center"/>
    </xf>
    <xf numFmtId="0" fontId="3" fillId="0" borderId="16" xfId="0" applyFont="1" applyBorder="1" applyAlignment="1">
      <alignment horizontal="center" vertical="center"/>
    </xf>
    <xf numFmtId="0" fontId="3" fillId="0" borderId="21"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3" fillId="2" borderId="0" xfId="0" applyFont="1" applyFill="1" applyAlignment="1">
      <alignment vertical="center"/>
    </xf>
    <xf numFmtId="0" fontId="91" fillId="0" borderId="0" xfId="0" applyFont="1" applyAlignment="1">
      <alignment horizontal="center" vertical="center"/>
    </xf>
    <xf numFmtId="165" fontId="91" fillId="0" borderId="0" xfId="0" applyNumberFormat="1" applyFont="1" applyAlignment="1">
      <alignment horizontal="center" vertical="center"/>
    </xf>
    <xf numFmtId="1" fontId="91" fillId="0" borderId="0" xfId="0" applyNumberFormat="1" applyFont="1" applyAlignment="1">
      <alignment vertical="center"/>
    </xf>
    <xf numFmtId="1" fontId="3" fillId="0" borderId="0" xfId="0" applyNumberFormat="1" applyFont="1" applyAlignment="1">
      <alignment vertical="center"/>
    </xf>
    <xf numFmtId="169" fontId="3" fillId="0" borderId="0" xfId="0" applyNumberFormat="1" applyFont="1" applyAlignment="1">
      <alignment vertical="center"/>
    </xf>
    <xf numFmtId="169" fontId="2" fillId="0" borderId="0" xfId="0" applyNumberFormat="1" applyFont="1" applyAlignment="1">
      <alignment vertical="center"/>
    </xf>
    <xf numFmtId="165" fontId="3" fillId="0" borderId="0" xfId="0" applyNumberFormat="1" applyFont="1" applyAlignment="1">
      <alignment vertical="center"/>
    </xf>
    <xf numFmtId="0" fontId="3" fillId="0" borderId="0" xfId="1" applyNumberFormat="1" applyFont="1" applyAlignment="1">
      <alignment horizontal="center" vertical="center"/>
    </xf>
    <xf numFmtId="168" fontId="3" fillId="0" borderId="0" xfId="0" applyNumberFormat="1" applyFont="1" applyAlignment="1">
      <alignment vertical="center"/>
    </xf>
    <xf numFmtId="0" fontId="89" fillId="0" borderId="0" xfId="0" applyFont="1" applyAlignment="1">
      <alignment horizontal="center" vertical="center"/>
    </xf>
    <xf numFmtId="0" fontId="3" fillId="4" borderId="0" xfId="0" applyFont="1" applyFill="1" applyAlignment="1">
      <alignment vertical="center"/>
    </xf>
    <xf numFmtId="0" fontId="93" fillId="4" borderId="0" xfId="0" applyFont="1" applyFill="1" applyAlignment="1">
      <alignment vertical="center"/>
    </xf>
    <xf numFmtId="0" fontId="3" fillId="3" borderId="0" xfId="0" applyFont="1" applyFill="1" applyAlignment="1">
      <alignment vertical="center"/>
    </xf>
    <xf numFmtId="0" fontId="2" fillId="9" borderId="0" xfId="0" applyFont="1" applyFill="1" applyAlignment="1">
      <alignment vertical="center"/>
    </xf>
    <xf numFmtId="166" fontId="2" fillId="0" borderId="0" xfId="0" applyNumberFormat="1" applyFont="1" applyAlignment="1">
      <alignment vertical="center"/>
    </xf>
    <xf numFmtId="0" fontId="99" fillId="0" borderId="0" xfId="0" applyFont="1" applyAlignment="1">
      <alignment vertical="center"/>
    </xf>
    <xf numFmtId="171" fontId="2" fillId="0" borderId="0" xfId="0" applyNumberFormat="1" applyFont="1" applyAlignment="1">
      <alignment horizontal="center" vertical="center"/>
    </xf>
    <xf numFmtId="165" fontId="99" fillId="0" borderId="0" xfId="0" applyNumberFormat="1" applyFont="1" applyAlignment="1">
      <alignment vertical="center"/>
    </xf>
    <xf numFmtId="0" fontId="3" fillId="5" borderId="0" xfId="0" applyFont="1" applyFill="1" applyAlignment="1">
      <alignment vertical="center"/>
    </xf>
    <xf numFmtId="0" fontId="93" fillId="5" borderId="0" xfId="0" applyFont="1" applyFill="1" applyAlignment="1">
      <alignment vertical="center"/>
    </xf>
    <xf numFmtId="165" fontId="93" fillId="0" borderId="0" xfId="0" applyNumberFormat="1" applyFont="1" applyAlignment="1">
      <alignment horizontal="center" vertical="center"/>
    </xf>
    <xf numFmtId="165" fontId="93" fillId="0" borderId="0" xfId="0" applyNumberFormat="1" applyFont="1" applyAlignment="1">
      <alignment vertical="center"/>
    </xf>
    <xf numFmtId="0" fontId="93" fillId="0" borderId="0" xfId="0" applyFont="1" applyAlignment="1">
      <alignment vertical="center"/>
    </xf>
    <xf numFmtId="0" fontId="10" fillId="9" borderId="0" xfId="0" applyFont="1" applyFill="1" applyAlignment="1">
      <alignment vertical="center"/>
    </xf>
    <xf numFmtId="0" fontId="11" fillId="9" borderId="0" xfId="0" applyFont="1" applyFill="1" applyAlignment="1">
      <alignment vertical="center"/>
    </xf>
    <xf numFmtId="0" fontId="11" fillId="9" borderId="0" xfId="4" applyFont="1" applyFill="1" applyAlignment="1">
      <alignment horizontal="center" vertical="center"/>
    </xf>
    <xf numFmtId="0" fontId="11" fillId="9" borderId="0" xfId="4" applyFont="1" applyFill="1" applyAlignment="1">
      <alignment vertical="center"/>
    </xf>
    <xf numFmtId="0" fontId="40" fillId="0" borderId="33" xfId="0" applyFont="1" applyBorder="1" applyAlignment="1">
      <alignment horizontal="center" vertical="center"/>
    </xf>
    <xf numFmtId="0" fontId="40" fillId="0" borderId="71" xfId="0" applyFont="1" applyBorder="1" applyAlignment="1">
      <alignment horizontal="center" vertical="center"/>
    </xf>
    <xf numFmtId="0" fontId="40" fillId="0" borderId="72" xfId="0" applyFont="1" applyBorder="1" applyAlignment="1">
      <alignment horizontal="center" vertical="center"/>
    </xf>
    <xf numFmtId="0" fontId="40" fillId="0" borderId="73" xfId="0" applyFont="1" applyBorder="1" applyAlignment="1">
      <alignment horizontal="center" vertical="center"/>
    </xf>
    <xf numFmtId="0" fontId="14" fillId="0" borderId="1" xfId="0" applyFont="1" applyBorder="1" applyAlignment="1" applyProtection="1">
      <alignment horizontal="center" vertical="center"/>
      <protection locked="0"/>
    </xf>
    <xf numFmtId="0" fontId="45" fillId="2" borderId="0" xfId="4" applyFont="1" applyFill="1" applyAlignment="1">
      <alignment horizontal="center" vertical="center"/>
    </xf>
    <xf numFmtId="0" fontId="23" fillId="0" borderId="0" xfId="4" applyFont="1" applyAlignment="1">
      <alignment horizontal="center" vertical="center"/>
    </xf>
    <xf numFmtId="0" fontId="48" fillId="8" borderId="0" xfId="0" applyFont="1" applyFill="1" applyAlignment="1" applyProtection="1">
      <alignment horizontal="center" vertical="center" wrapText="1"/>
      <protection hidden="1"/>
    </xf>
    <xf numFmtId="0" fontId="43" fillId="0" borderId="0" xfId="6" applyFont="1" applyFill="1" applyAlignment="1">
      <alignment horizontal="center" vertical="center"/>
    </xf>
    <xf numFmtId="0" fontId="91" fillId="0" borderId="38" xfId="0" applyFont="1" applyBorder="1" applyAlignment="1">
      <alignment horizontal="center" vertical="center"/>
    </xf>
    <xf numFmtId="0" fontId="63" fillId="0" borderId="23" xfId="0" applyFont="1" applyBorder="1" applyAlignment="1">
      <alignment horizontal="center" vertical="center"/>
    </xf>
    <xf numFmtId="0" fontId="63" fillId="0" borderId="4" xfId="0" applyFont="1" applyBorder="1" applyAlignment="1">
      <alignment horizontal="center" vertical="center"/>
    </xf>
    <xf numFmtId="0" fontId="90" fillId="7" borderId="48" xfId="0" applyFont="1" applyFill="1" applyBorder="1" applyAlignment="1">
      <alignment horizontal="center" vertical="center"/>
    </xf>
    <xf numFmtId="0" fontId="90" fillId="7" borderId="49" xfId="0" applyFont="1" applyFill="1" applyBorder="1" applyAlignment="1">
      <alignment horizontal="center" vertical="center"/>
    </xf>
    <xf numFmtId="0" fontId="90" fillId="7" borderId="50" xfId="0" applyFont="1" applyFill="1" applyBorder="1" applyAlignment="1">
      <alignment horizontal="center" vertical="center"/>
    </xf>
    <xf numFmtId="0" fontId="94" fillId="7" borderId="48" xfId="0" applyFont="1" applyFill="1" applyBorder="1" applyAlignment="1">
      <alignment horizontal="center" vertical="center"/>
    </xf>
    <xf numFmtId="0" fontId="94" fillId="7" borderId="49" xfId="0" applyFont="1" applyFill="1" applyBorder="1" applyAlignment="1">
      <alignment horizontal="center" vertical="center"/>
    </xf>
    <xf numFmtId="0" fontId="94" fillId="7" borderId="50" xfId="0" applyFont="1" applyFill="1" applyBorder="1" applyAlignment="1">
      <alignment horizontal="center" vertical="center"/>
    </xf>
    <xf numFmtId="0" fontId="3" fillId="0" borderId="0" xfId="0" applyFont="1" applyAlignment="1">
      <alignment horizontal="center" vertical="center"/>
    </xf>
    <xf numFmtId="0" fontId="88" fillId="0" borderId="0" xfId="0" applyFont="1" applyAlignment="1">
      <alignment horizontal="center" vertical="center"/>
    </xf>
    <xf numFmtId="170" fontId="3" fillId="0" borderId="0" xfId="0" applyNumberFormat="1" applyFont="1" applyAlignment="1">
      <alignment vertical="center"/>
    </xf>
    <xf numFmtId="165" fontId="3" fillId="0" borderId="0" xfId="0" applyNumberFormat="1" applyFont="1" applyAlignment="1">
      <alignment horizontal="center" vertical="center"/>
    </xf>
    <xf numFmtId="0" fontId="96" fillId="7" borderId="48" xfId="0" applyFont="1" applyFill="1" applyBorder="1" applyAlignment="1">
      <alignment horizontal="center" vertical="center"/>
    </xf>
    <xf numFmtId="0" fontId="96" fillId="7" borderId="49" xfId="0" applyFont="1" applyFill="1" applyBorder="1" applyAlignment="1">
      <alignment horizontal="center" vertical="center"/>
    </xf>
    <xf numFmtId="0" fontId="96" fillId="7" borderId="50" xfId="0" applyFont="1" applyFill="1" applyBorder="1" applyAlignment="1">
      <alignment horizontal="center" vertical="center"/>
    </xf>
    <xf numFmtId="0" fontId="3" fillId="0" borderId="0" xfId="0" applyFont="1" applyAlignment="1">
      <alignment vertical="center"/>
    </xf>
    <xf numFmtId="0" fontId="93" fillId="0" borderId="0" xfId="0" applyFont="1" applyAlignment="1">
      <alignment horizontal="left" vertical="center"/>
    </xf>
    <xf numFmtId="0" fontId="3" fillId="0" borderId="0" xfId="0" applyFont="1" applyAlignment="1">
      <alignment horizontal="left" vertical="center"/>
    </xf>
    <xf numFmtId="0" fontId="4" fillId="0" borderId="48" xfId="0" applyFont="1" applyBorder="1" applyAlignment="1">
      <alignment horizontal="center"/>
    </xf>
    <xf numFmtId="0" fontId="4" fillId="0" borderId="49" xfId="0" applyFont="1" applyBorder="1" applyAlignment="1">
      <alignment horizontal="center"/>
    </xf>
    <xf numFmtId="0" fontId="4" fillId="0" borderId="50" xfId="0" applyFont="1" applyBorder="1" applyAlignment="1">
      <alignment horizontal="center"/>
    </xf>
    <xf numFmtId="0" fontId="8" fillId="10" borderId="48" xfId="0" applyFont="1" applyFill="1" applyBorder="1" applyAlignment="1">
      <alignment horizontal="center" vertical="center"/>
    </xf>
    <xf numFmtId="0" fontId="8" fillId="10" borderId="49" xfId="0" applyFont="1" applyFill="1" applyBorder="1" applyAlignment="1">
      <alignment horizontal="center" vertical="center"/>
    </xf>
    <xf numFmtId="0" fontId="8" fillId="10" borderId="50" xfId="0" applyFont="1" applyFill="1" applyBorder="1" applyAlignment="1">
      <alignment horizontal="center" vertical="center"/>
    </xf>
    <xf numFmtId="0" fontId="6" fillId="0" borderId="0" xfId="0" applyFont="1" applyAlignment="1">
      <alignment horizontal="left"/>
    </xf>
    <xf numFmtId="0" fontId="9" fillId="0" borderId="23" xfId="0" applyFont="1" applyBorder="1" applyAlignment="1">
      <alignment horizontal="center" vertical="center"/>
    </xf>
    <xf numFmtId="0" fontId="9" fillId="0" borderId="4" xfId="0" applyFont="1" applyBorder="1" applyAlignment="1">
      <alignment horizontal="center" vertical="center"/>
    </xf>
    <xf numFmtId="0" fontId="6" fillId="0" borderId="38" xfId="0" applyFont="1" applyBorder="1" applyAlignment="1">
      <alignment horizontal="center" vertical="center" textRotation="90"/>
    </xf>
    <xf numFmtId="0" fontId="9" fillId="0" borderId="1" xfId="0" applyFont="1" applyBorder="1" applyAlignment="1">
      <alignment horizontal="center" vertical="center"/>
    </xf>
    <xf numFmtId="0" fontId="6" fillId="0" borderId="40" xfId="0" applyFont="1" applyBorder="1" applyAlignment="1">
      <alignment horizontal="center"/>
    </xf>
    <xf numFmtId="167" fontId="6" fillId="0" borderId="0" xfId="0" applyNumberFormat="1" applyFont="1" applyAlignment="1">
      <alignment horizontal="left"/>
    </xf>
    <xf numFmtId="0" fontId="6" fillId="0" borderId="3" xfId="0" applyFont="1" applyBorder="1" applyProtection="1">
      <protection locked="0"/>
    </xf>
    <xf numFmtId="0" fontId="6" fillId="0" borderId="0" xfId="0" applyFont="1" applyProtection="1">
      <protection locked="0"/>
    </xf>
    <xf numFmtId="0" fontId="6" fillId="0" borderId="2" xfId="0" applyFont="1" applyBorder="1" applyProtection="1">
      <protection locked="0"/>
    </xf>
    <xf numFmtId="0" fontId="6" fillId="0" borderId="51" xfId="0" applyFont="1" applyBorder="1" applyProtection="1">
      <protection locked="0"/>
    </xf>
    <xf numFmtId="0" fontId="6" fillId="0" borderId="5" xfId="0" applyFont="1" applyBorder="1" applyProtection="1">
      <protection locked="0"/>
    </xf>
    <xf numFmtId="0" fontId="6" fillId="0" borderId="6" xfId="0" applyFont="1" applyBorder="1" applyProtection="1">
      <protection locked="0"/>
    </xf>
    <xf numFmtId="0" fontId="12" fillId="0" borderId="0" xfId="3" applyFont="1" applyAlignment="1">
      <alignment horizontal="center" wrapText="1"/>
    </xf>
    <xf numFmtId="0" fontId="12" fillId="0" borderId="0" xfId="3" applyFont="1" applyAlignment="1">
      <alignment horizontal="center" vertical="top" wrapText="1"/>
    </xf>
    <xf numFmtId="0" fontId="12" fillId="0" borderId="0" xfId="3" applyFont="1" applyAlignment="1">
      <alignment horizontal="center" vertical="center" wrapText="1"/>
    </xf>
    <xf numFmtId="0" fontId="12" fillId="0" borderId="0" xfId="3" applyFont="1" applyAlignment="1">
      <alignment horizontal="center"/>
    </xf>
    <xf numFmtId="0" fontId="12" fillId="0" borderId="60" xfId="3" applyFont="1" applyBorder="1" applyAlignment="1">
      <alignment horizontal="center" vertical="center" wrapText="1"/>
    </xf>
    <xf numFmtId="0" fontId="12" fillId="0" borderId="56" xfId="3" applyFont="1" applyBorder="1" applyAlignment="1">
      <alignment horizontal="center" vertical="center" wrapText="1"/>
    </xf>
    <xf numFmtId="0" fontId="52" fillId="0" borderId="60" xfId="3" applyFont="1" applyBorder="1" applyAlignment="1">
      <alignment horizontal="center" vertical="center" wrapText="1"/>
    </xf>
    <xf numFmtId="0" fontId="52" fillId="0" borderId="55" xfId="3" applyFont="1" applyBorder="1" applyAlignment="1">
      <alignment horizontal="center" vertical="center" wrapText="1"/>
    </xf>
    <xf numFmtId="0" fontId="52" fillId="0" borderId="56" xfId="3" applyFont="1" applyBorder="1" applyAlignment="1">
      <alignment horizontal="center" vertical="center" wrapText="1"/>
    </xf>
    <xf numFmtId="0" fontId="12" fillId="0" borderId="55" xfId="3" applyFont="1" applyBorder="1" applyAlignment="1">
      <alignment horizontal="center" vertical="center" wrapText="1"/>
    </xf>
    <xf numFmtId="0" fontId="53" fillId="0" borderId="60" xfId="3" applyFont="1" applyBorder="1" applyAlignment="1">
      <alignment horizontal="center" vertical="center"/>
    </xf>
    <xf numFmtId="0" fontId="53" fillId="0" borderId="55" xfId="3" applyFont="1" applyBorder="1" applyAlignment="1">
      <alignment horizontal="center" vertical="center"/>
    </xf>
    <xf numFmtId="0" fontId="53" fillId="0" borderId="56" xfId="3" applyFont="1" applyBorder="1" applyAlignment="1">
      <alignment horizontal="center" vertical="center"/>
    </xf>
    <xf numFmtId="0" fontId="51" fillId="0" borderId="48" xfId="3" applyFont="1" applyBorder="1" applyAlignment="1">
      <alignment horizontal="center" vertical="center" wrapText="1"/>
    </xf>
    <xf numFmtId="0" fontId="51" fillId="0" borderId="49" xfId="3" applyFont="1" applyBorder="1" applyAlignment="1">
      <alignment horizontal="center" vertical="center" wrapText="1"/>
    </xf>
    <xf numFmtId="0" fontId="51" fillId="0" borderId="50" xfId="3" applyFont="1" applyBorder="1" applyAlignment="1">
      <alignment horizontal="center" vertical="center" wrapText="1"/>
    </xf>
    <xf numFmtId="0" fontId="19" fillId="0" borderId="0" xfId="3" applyFont="1" applyAlignment="1">
      <alignment horizontal="center"/>
    </xf>
    <xf numFmtId="0" fontId="13" fillId="0" borderId="23" xfId="3" applyFont="1" applyBorder="1" applyAlignment="1">
      <alignment horizontal="center" vertical="center" wrapText="1"/>
    </xf>
    <xf numFmtId="0" fontId="13" fillId="0" borderId="61" xfId="3" applyFont="1" applyBorder="1" applyAlignment="1">
      <alignment horizontal="center" vertical="center" wrapText="1"/>
    </xf>
    <xf numFmtId="0" fontId="13" fillId="0" borderId="4" xfId="3" applyFont="1" applyBorder="1" applyAlignment="1">
      <alignment horizontal="center" vertical="center" wrapText="1"/>
    </xf>
    <xf numFmtId="0" fontId="15" fillId="0" borderId="60" xfId="3" applyFont="1" applyBorder="1" applyAlignment="1">
      <alignment vertical="center"/>
    </xf>
    <xf numFmtId="0" fontId="15" fillId="0" borderId="56" xfId="3" applyFont="1" applyBorder="1" applyAlignment="1">
      <alignment vertical="center"/>
    </xf>
    <xf numFmtId="0" fontId="15" fillId="0" borderId="60" xfId="3" applyFont="1" applyBorder="1" applyAlignment="1">
      <alignment horizontal="center" vertical="center"/>
    </xf>
    <xf numFmtId="0" fontId="15" fillId="0" borderId="55" xfId="3" applyFont="1" applyBorder="1" applyAlignment="1">
      <alignment horizontal="center" vertical="center"/>
    </xf>
    <xf numFmtId="0" fontId="15" fillId="0" borderId="56" xfId="3" applyFont="1" applyBorder="1" applyAlignment="1">
      <alignment horizontal="center" vertical="center"/>
    </xf>
    <xf numFmtId="0" fontId="12" fillId="0" borderId="62" xfId="3" applyFont="1" applyBorder="1" applyAlignment="1">
      <alignment horizontal="center" vertical="center" wrapText="1"/>
    </xf>
    <xf numFmtId="0" fontId="12" fillId="0" borderId="64" xfId="3" applyFont="1" applyBorder="1" applyAlignment="1">
      <alignment horizontal="center" vertical="center" wrapText="1"/>
    </xf>
    <xf numFmtId="0" fontId="53" fillId="0" borderId="62" xfId="3" applyFont="1" applyBorder="1" applyAlignment="1">
      <alignment horizontal="center" vertical="center" wrapText="1"/>
    </xf>
    <xf numFmtId="0" fontId="53" fillId="0" borderId="63" xfId="3" applyFont="1" applyBorder="1" applyAlignment="1">
      <alignment horizontal="center" vertical="center" wrapText="1"/>
    </xf>
    <xf numFmtId="0" fontId="53" fillId="0" borderId="64" xfId="3" applyFont="1" applyBorder="1" applyAlignment="1">
      <alignment horizontal="center" vertical="center" wrapText="1"/>
    </xf>
    <xf numFmtId="0" fontId="12" fillId="0" borderId="63" xfId="3" applyFont="1" applyBorder="1" applyAlignment="1">
      <alignment horizontal="center" vertical="center" wrapText="1"/>
    </xf>
    <xf numFmtId="167" fontId="53" fillId="0" borderId="62" xfId="3" applyNumberFormat="1" applyFont="1" applyBorder="1" applyAlignment="1">
      <alignment horizontal="center" vertical="center"/>
    </xf>
    <xf numFmtId="167" fontId="53" fillId="0" borderId="63" xfId="3" applyNumberFormat="1" applyFont="1" applyBorder="1" applyAlignment="1">
      <alignment horizontal="center" vertical="center"/>
    </xf>
    <xf numFmtId="167" fontId="53" fillId="0" borderId="64" xfId="3" applyNumberFormat="1" applyFont="1" applyBorder="1" applyAlignment="1">
      <alignment horizontal="center" vertical="center"/>
    </xf>
    <xf numFmtId="0" fontId="13" fillId="0" borderId="42" xfId="3" applyFont="1" applyBorder="1" applyAlignment="1">
      <alignment horizontal="center" vertical="center" wrapText="1"/>
    </xf>
    <xf numFmtId="0" fontId="13" fillId="0" borderId="37" xfId="3" applyFont="1" applyBorder="1" applyAlignment="1">
      <alignment horizontal="center" vertical="center" wrapText="1"/>
    </xf>
    <xf numFmtId="0" fontId="13" fillId="0" borderId="22" xfId="3" applyFont="1" applyBorder="1" applyAlignment="1">
      <alignment horizontal="center" vertical="center" wrapText="1"/>
    </xf>
    <xf numFmtId="0" fontId="13" fillId="0" borderId="38" xfId="3" applyFont="1" applyBorder="1" applyAlignment="1">
      <alignment horizontal="center" vertical="center" wrapText="1"/>
    </xf>
    <xf numFmtId="0" fontId="13" fillId="0" borderId="39" xfId="3" applyFont="1" applyBorder="1" applyAlignment="1">
      <alignment horizontal="center" vertical="center" wrapText="1"/>
    </xf>
    <xf numFmtId="0" fontId="13" fillId="0" borderId="41" xfId="3" applyFont="1" applyBorder="1" applyAlignment="1">
      <alignment horizontal="center" vertical="center" wrapText="1"/>
    </xf>
    <xf numFmtId="0" fontId="13" fillId="0" borderId="36" xfId="3" applyFont="1" applyBorder="1" applyAlignment="1">
      <alignment horizontal="center" vertical="center" wrapText="1"/>
    </xf>
    <xf numFmtId="0" fontId="13" fillId="0" borderId="0" xfId="3" applyFont="1" applyAlignment="1">
      <alignment horizontal="center" vertical="center" wrapText="1"/>
    </xf>
    <xf numFmtId="0" fontId="13" fillId="0" borderId="40" xfId="3" applyFont="1" applyBorder="1" applyAlignment="1">
      <alignment horizontal="center" vertical="center" wrapText="1"/>
    </xf>
    <xf numFmtId="0" fontId="12" fillId="0" borderId="40" xfId="3" applyFont="1" applyBorder="1" applyAlignment="1">
      <alignment horizontal="center"/>
    </xf>
    <xf numFmtId="0" fontId="15" fillId="0" borderId="62" xfId="3" applyFont="1" applyBorder="1" applyAlignment="1">
      <alignment vertical="center"/>
    </xf>
    <xf numFmtId="0" fontId="15" fillId="0" borderId="64" xfId="3" applyFont="1" applyBorder="1" applyAlignment="1">
      <alignment vertical="center"/>
    </xf>
    <xf numFmtId="0" fontId="15" fillId="0" borderId="62" xfId="3" applyFont="1" applyBorder="1" applyAlignment="1">
      <alignment horizontal="center" vertical="center"/>
    </xf>
    <xf numFmtId="0" fontId="15" fillId="0" borderId="63" xfId="3" applyFont="1" applyBorder="1" applyAlignment="1">
      <alignment horizontal="center" vertical="center"/>
    </xf>
    <xf numFmtId="0" fontId="15" fillId="0" borderId="64" xfId="3" applyFont="1" applyBorder="1" applyAlignment="1">
      <alignment horizontal="center" vertical="center"/>
    </xf>
    <xf numFmtId="0" fontId="15" fillId="0" borderId="62" xfId="3" applyFont="1" applyBorder="1" applyAlignment="1">
      <alignment vertical="center" wrapText="1"/>
    </xf>
    <xf numFmtId="0" fontId="15" fillId="0" borderId="63" xfId="3" applyFont="1" applyBorder="1" applyAlignment="1">
      <alignment vertical="center" wrapText="1"/>
    </xf>
    <xf numFmtId="0" fontId="15" fillId="0" borderId="64" xfId="3" applyFont="1" applyBorder="1" applyAlignment="1">
      <alignment vertical="center" wrapText="1"/>
    </xf>
    <xf numFmtId="0" fontId="15" fillId="0" borderId="62" xfId="3" applyFont="1" applyBorder="1"/>
    <xf numFmtId="0" fontId="15" fillId="0" borderId="64" xfId="3" applyFont="1" applyBorder="1"/>
    <xf numFmtId="0" fontId="56" fillId="0" borderId="36" xfId="3" applyFont="1" applyBorder="1" applyAlignment="1">
      <alignment horizontal="center" vertical="top" wrapText="1"/>
    </xf>
    <xf numFmtId="0" fontId="56" fillId="0" borderId="0" xfId="3" applyFont="1" applyAlignment="1">
      <alignment horizontal="center" vertical="top" wrapText="1"/>
    </xf>
    <xf numFmtId="0" fontId="12" fillId="0" borderId="48" xfId="3" applyFont="1" applyBorder="1" applyAlignment="1">
      <alignment horizontal="center" vertical="top" wrapText="1"/>
    </xf>
    <xf numFmtId="0" fontId="12" fillId="0" borderId="49" xfId="3" applyFont="1" applyBorder="1" applyAlignment="1">
      <alignment horizontal="center" vertical="top" wrapText="1"/>
    </xf>
    <xf numFmtId="0" fontId="12" fillId="0" borderId="50" xfId="3" applyFont="1" applyBorder="1" applyAlignment="1">
      <alignment horizontal="center" vertical="top" wrapText="1"/>
    </xf>
    <xf numFmtId="0" fontId="15" fillId="0" borderId="60" xfId="3" applyFont="1" applyBorder="1"/>
    <xf numFmtId="0" fontId="15" fillId="0" borderId="56" xfId="3" applyFont="1" applyBorder="1"/>
    <xf numFmtId="0" fontId="15" fillId="0" borderId="60" xfId="3" applyFont="1" applyBorder="1" applyAlignment="1">
      <alignment vertical="center" wrapText="1"/>
    </xf>
    <xf numFmtId="0" fontId="15" fillId="0" borderId="55" xfId="3" applyFont="1" applyBorder="1" applyAlignment="1">
      <alignment vertical="center" wrapText="1"/>
    </xf>
    <xf numFmtId="0" fontId="15" fillId="0" borderId="56" xfId="3" applyFont="1" applyBorder="1" applyAlignment="1">
      <alignment vertical="center" wrapText="1"/>
    </xf>
    <xf numFmtId="0" fontId="15" fillId="0" borderId="65" xfId="3" applyFont="1" applyBorder="1" applyAlignment="1">
      <alignment vertical="center"/>
    </xf>
    <xf numFmtId="0" fontId="15" fillId="0" borderId="67" xfId="3" applyFont="1" applyBorder="1" applyAlignment="1">
      <alignment vertical="center"/>
    </xf>
    <xf numFmtId="0" fontId="15" fillId="0" borderId="65" xfId="3" applyFont="1" applyBorder="1" applyAlignment="1">
      <alignment horizontal="center" vertical="center"/>
    </xf>
    <xf numFmtId="0" fontId="15" fillId="0" borderId="66" xfId="3" applyFont="1" applyBorder="1" applyAlignment="1">
      <alignment horizontal="center" vertical="center"/>
    </xf>
    <xf numFmtId="0" fontId="15" fillId="0" borderId="67" xfId="3" applyFont="1" applyBorder="1" applyAlignment="1">
      <alignment horizontal="center" vertical="center"/>
    </xf>
    <xf numFmtId="0" fontId="12" fillId="0" borderId="40" xfId="3" applyFont="1" applyBorder="1" applyAlignment="1" applyProtection="1">
      <alignment horizontal="center"/>
      <protection locked="0"/>
    </xf>
    <xf numFmtId="0" fontId="49" fillId="0" borderId="42" xfId="3" applyFont="1" applyBorder="1" applyAlignment="1">
      <alignment horizontal="center" vertical="top" wrapText="1"/>
    </xf>
    <xf numFmtId="0" fontId="49" fillId="0" borderId="36" xfId="3" applyFont="1" applyBorder="1" applyAlignment="1">
      <alignment horizontal="center" vertical="top" wrapText="1"/>
    </xf>
    <xf numFmtId="0" fontId="49" fillId="0" borderId="37" xfId="3" applyFont="1" applyBorder="1" applyAlignment="1">
      <alignment horizontal="center" vertical="top" wrapText="1"/>
    </xf>
    <xf numFmtId="0" fontId="12" fillId="0" borderId="22" xfId="3" applyFont="1" applyBorder="1" applyAlignment="1">
      <alignment horizontal="center" vertical="top" wrapText="1"/>
    </xf>
    <xf numFmtId="0" fontId="12" fillId="0" borderId="38" xfId="3" applyFont="1" applyBorder="1" applyAlignment="1">
      <alignment horizontal="center" vertical="top" wrapText="1"/>
    </xf>
    <xf numFmtId="0" fontId="12" fillId="0" borderId="39" xfId="3" applyFont="1" applyBorder="1" applyAlignment="1">
      <alignment horizontal="center" vertical="top" wrapText="1"/>
    </xf>
    <xf numFmtId="0" fontId="12" fillId="0" borderId="40" xfId="3" applyFont="1" applyBorder="1" applyAlignment="1">
      <alignment horizontal="center" vertical="top" wrapText="1"/>
    </xf>
    <xf numFmtId="0" fontId="12" fillId="0" borderId="41" xfId="3" applyFont="1" applyBorder="1" applyAlignment="1">
      <alignment horizontal="center" vertical="top" wrapText="1"/>
    </xf>
    <xf numFmtId="0" fontId="56" fillId="0" borderId="0" xfId="3" applyFont="1" applyAlignment="1">
      <alignment horizontal="center" vertical="center" wrapText="1"/>
    </xf>
    <xf numFmtId="0" fontId="30" fillId="0" borderId="42" xfId="3" applyFont="1" applyBorder="1" applyAlignment="1">
      <alignment horizontal="center" vertical="center"/>
    </xf>
    <xf numFmtId="0" fontId="30" fillId="0" borderId="36" xfId="3" applyFont="1" applyBorder="1" applyAlignment="1">
      <alignment horizontal="center" vertical="center"/>
    </xf>
    <xf numFmtId="0" fontId="30" fillId="0" borderId="37" xfId="3" applyFont="1" applyBorder="1" applyAlignment="1">
      <alignment horizontal="center" vertical="center"/>
    </xf>
    <xf numFmtId="0" fontId="27" fillId="0" borderId="0" xfId="3" applyFont="1" applyAlignment="1">
      <alignment horizontal="center" vertical="center" wrapText="1"/>
    </xf>
    <xf numFmtId="0" fontId="25" fillId="0" borderId="0" xfId="3" applyFont="1" applyAlignment="1">
      <alignment horizontal="center" vertical="center"/>
    </xf>
    <xf numFmtId="0" fontId="34" fillId="10" borderId="57" xfId="3" applyFont="1" applyFill="1" applyBorder="1" applyAlignment="1">
      <alignment horizontal="center" vertical="center"/>
    </xf>
    <xf numFmtId="0" fontId="34" fillId="10" borderId="58" xfId="3" applyFont="1" applyFill="1" applyBorder="1" applyAlignment="1">
      <alignment horizontal="center" vertical="center"/>
    </xf>
    <xf numFmtId="0" fontId="34" fillId="10" borderId="59" xfId="3" applyFont="1" applyFill="1" applyBorder="1" applyAlignment="1">
      <alignment horizontal="center" vertical="center"/>
    </xf>
    <xf numFmtId="0" fontId="34" fillId="0" borderId="0" xfId="3" applyFont="1" applyAlignment="1">
      <alignment horizontal="center" vertical="center"/>
    </xf>
    <xf numFmtId="0" fontId="34" fillId="0" borderId="22" xfId="3" applyFont="1" applyBorder="1" applyAlignment="1">
      <alignment horizontal="center" vertical="center"/>
    </xf>
    <xf numFmtId="0" fontId="34" fillId="0" borderId="38" xfId="3" applyFont="1" applyBorder="1" applyAlignment="1">
      <alignment horizontal="center" vertical="center"/>
    </xf>
    <xf numFmtId="0" fontId="34" fillId="0" borderId="39" xfId="3" applyFont="1" applyBorder="1" applyAlignment="1">
      <alignment horizontal="center" vertical="center"/>
    </xf>
    <xf numFmtId="0" fontId="34" fillId="0" borderId="40" xfId="3" applyFont="1" applyBorder="1" applyAlignment="1">
      <alignment horizontal="center" vertical="center"/>
    </xf>
    <xf numFmtId="0" fontId="34" fillId="0" borderId="41" xfId="3" applyFont="1" applyBorder="1" applyAlignment="1">
      <alignment horizontal="center" vertical="center"/>
    </xf>
    <xf numFmtId="0" fontId="31" fillId="0" borderId="42" xfId="3" applyFont="1" applyBorder="1" applyAlignment="1">
      <alignment horizontal="right" vertical="center" wrapText="1"/>
    </xf>
    <xf numFmtId="0" fontId="31" fillId="0" borderId="36" xfId="3" applyFont="1" applyBorder="1" applyAlignment="1">
      <alignment horizontal="right" vertical="center" wrapText="1"/>
    </xf>
    <xf numFmtId="0" fontId="31" fillId="0" borderId="22" xfId="3" applyFont="1" applyBorder="1" applyAlignment="1">
      <alignment horizontal="right" vertical="center" wrapText="1"/>
    </xf>
    <xf numFmtId="0" fontId="31" fillId="0" borderId="0" xfId="3" applyFont="1" applyAlignment="1">
      <alignment horizontal="right" vertical="center" wrapText="1"/>
    </xf>
    <xf numFmtId="0" fontId="53" fillId="0" borderId="45" xfId="3" applyFont="1" applyBorder="1" applyAlignment="1" applyProtection="1">
      <alignment horizontal="center" vertical="center"/>
      <protection locked="0"/>
    </xf>
    <xf numFmtId="0" fontId="15" fillId="0" borderId="45" xfId="3" applyFont="1" applyBorder="1" applyAlignment="1" applyProtection="1">
      <alignment horizontal="center" vertical="center"/>
      <protection locked="0"/>
    </xf>
    <xf numFmtId="0" fontId="31" fillId="0" borderId="42" xfId="3" applyFont="1" applyBorder="1" applyAlignment="1">
      <alignment horizontal="center" vertical="center" wrapText="1"/>
    </xf>
    <xf numFmtId="0" fontId="31" fillId="0" borderId="36" xfId="3" applyFont="1" applyBorder="1" applyAlignment="1">
      <alignment horizontal="center" vertical="center" wrapText="1"/>
    </xf>
    <xf numFmtId="0" fontId="52" fillId="0" borderId="55" xfId="3" applyFont="1" applyBorder="1" applyAlignment="1">
      <alignment horizontal="left" vertical="center"/>
    </xf>
    <xf numFmtId="0" fontId="53" fillId="0" borderId="55" xfId="1" applyNumberFormat="1" applyFont="1" applyBorder="1" applyAlignment="1">
      <alignment horizontal="center" vertical="center"/>
    </xf>
    <xf numFmtId="0" fontId="53" fillId="0" borderId="56" xfId="1" applyNumberFormat="1" applyFont="1" applyBorder="1" applyAlignment="1">
      <alignment horizontal="center" vertical="center"/>
    </xf>
    <xf numFmtId="165" fontId="53" fillId="0" borderId="45" xfId="3" applyNumberFormat="1" applyFont="1" applyBorder="1" applyAlignment="1">
      <alignment horizontal="center" vertical="center"/>
    </xf>
    <xf numFmtId="165" fontId="53" fillId="0" borderId="53" xfId="3" applyNumberFormat="1" applyFont="1" applyBorder="1" applyAlignment="1">
      <alignment horizontal="center" vertical="center"/>
    </xf>
    <xf numFmtId="0" fontId="16" fillId="0" borderId="54" xfId="3" applyFont="1" applyBorder="1" applyAlignment="1">
      <alignment horizontal="right" vertical="center"/>
    </xf>
    <xf numFmtId="0" fontId="16" fillId="0" borderId="45" xfId="3" applyFont="1" applyBorder="1" applyAlignment="1" applyProtection="1">
      <alignment horizontal="center" vertical="center"/>
      <protection locked="0"/>
    </xf>
    <xf numFmtId="0" fontId="25" fillId="0" borderId="52" xfId="3" applyFont="1" applyBorder="1" applyAlignment="1">
      <alignment horizontal="center" vertical="center" wrapText="1"/>
    </xf>
    <xf numFmtId="0" fontId="25" fillId="0" borderId="45" xfId="3" applyFont="1" applyBorder="1" applyAlignment="1">
      <alignment horizontal="center" vertical="center" wrapText="1"/>
    </xf>
    <xf numFmtId="0" fontId="38" fillId="0" borderId="0" xfId="3" applyFont="1" applyAlignment="1">
      <alignment horizontal="center" vertical="center" wrapText="1"/>
    </xf>
    <xf numFmtId="0" fontId="38" fillId="0" borderId="38" xfId="3" applyFont="1" applyBorder="1" applyAlignment="1">
      <alignment horizontal="center" vertical="center" wrapText="1"/>
    </xf>
    <xf numFmtId="0" fontId="15" fillId="0" borderId="22" xfId="3" applyFont="1" applyBorder="1" applyAlignment="1">
      <alignment horizontal="center" vertical="center"/>
    </xf>
    <xf numFmtId="0" fontId="15" fillId="0" borderId="0" xfId="3" applyFont="1" applyAlignment="1">
      <alignment horizontal="center" vertical="center"/>
    </xf>
    <xf numFmtId="0" fontId="31" fillId="0" borderId="22" xfId="3" applyFont="1" applyBorder="1" applyAlignment="1">
      <alignment horizontal="center" vertical="center" wrapText="1"/>
    </xf>
    <xf numFmtId="0" fontId="31" fillId="0" borderId="0" xfId="3" applyFont="1" applyAlignment="1">
      <alignment horizontal="center" vertical="center" wrapText="1"/>
    </xf>
    <xf numFmtId="0" fontId="19" fillId="0" borderId="45" xfId="3" applyFont="1" applyBorder="1" applyAlignment="1" applyProtection="1">
      <alignment horizontal="center" vertical="center"/>
      <protection locked="0"/>
    </xf>
    <xf numFmtId="0" fontId="19" fillId="0" borderId="53" xfId="3" applyFont="1" applyBorder="1" applyAlignment="1" applyProtection="1">
      <alignment horizontal="center" vertical="center"/>
      <protection locked="0"/>
    </xf>
    <xf numFmtId="0" fontId="30" fillId="0" borderId="22" xfId="3" applyFont="1" applyBorder="1" applyAlignment="1">
      <alignment horizontal="center" vertical="center"/>
    </xf>
    <xf numFmtId="0" fontId="30" fillId="0" borderId="0" xfId="3" applyFont="1" applyAlignment="1">
      <alignment horizontal="center" vertical="center"/>
    </xf>
    <xf numFmtId="0" fontId="30" fillId="0" borderId="38" xfId="3" applyFont="1" applyBorder="1" applyAlignment="1">
      <alignment horizontal="center" vertical="center"/>
    </xf>
    <xf numFmtId="0" fontId="30" fillId="0" borderId="39" xfId="3" applyFont="1" applyBorder="1" applyAlignment="1">
      <alignment horizontal="center" vertical="center"/>
    </xf>
    <xf numFmtId="0" fontId="30" fillId="0" borderId="40" xfId="3" applyFont="1" applyBorder="1" applyAlignment="1">
      <alignment horizontal="center" vertical="center"/>
    </xf>
    <xf numFmtId="0" fontId="30" fillId="0" borderId="41" xfId="3" applyFont="1" applyBorder="1" applyAlignment="1">
      <alignment horizontal="center" vertical="center"/>
    </xf>
    <xf numFmtId="0" fontId="38" fillId="0" borderId="3" xfId="3" applyFont="1" applyBorder="1" applyAlignment="1">
      <alignment horizontal="center" vertical="center" wrapText="1"/>
    </xf>
    <xf numFmtId="0" fontId="60" fillId="0" borderId="42" xfId="3" applyFont="1" applyBorder="1" applyAlignment="1">
      <alignment horizontal="center" vertical="center"/>
    </xf>
    <xf numFmtId="0" fontId="60" fillId="0" borderId="36" xfId="3" applyFont="1" applyBorder="1" applyAlignment="1">
      <alignment horizontal="center" vertical="center"/>
    </xf>
    <xf numFmtId="0" fontId="59" fillId="0" borderId="22" xfId="3" applyFont="1" applyBorder="1" applyAlignment="1">
      <alignment horizontal="center" vertical="center" wrapText="1"/>
    </xf>
    <xf numFmtId="0" fontId="59" fillId="0" borderId="0" xfId="3" applyFont="1" applyAlignment="1">
      <alignment horizontal="center" vertical="center" wrapText="1"/>
    </xf>
    <xf numFmtId="0" fontId="59" fillId="0" borderId="38" xfId="3" applyFont="1" applyBorder="1" applyAlignment="1">
      <alignment horizontal="center" vertical="center" wrapText="1"/>
    </xf>
    <xf numFmtId="167" fontId="14" fillId="0" borderId="0" xfId="3" applyNumberFormat="1" applyFont="1" applyAlignment="1" applyProtection="1">
      <alignment horizontal="center" vertical="center"/>
      <protection locked="0"/>
    </xf>
    <xf numFmtId="167" fontId="14" fillId="0" borderId="2" xfId="3" applyNumberFormat="1" applyFont="1" applyBorder="1" applyAlignment="1" applyProtection="1">
      <alignment horizontal="center" vertical="center"/>
      <protection locked="0"/>
    </xf>
    <xf numFmtId="0" fontId="31" fillId="0" borderId="45" xfId="3" applyFont="1" applyBorder="1" applyAlignment="1" applyProtection="1">
      <alignment horizontal="center" vertical="center" wrapText="1"/>
      <protection locked="0"/>
    </xf>
    <xf numFmtId="0" fontId="39" fillId="0" borderId="22" xfId="3" applyFont="1" applyBorder="1" applyAlignment="1">
      <alignment horizontal="center" vertical="center" wrapText="1"/>
    </xf>
    <xf numFmtId="0" fontId="39" fillId="0" borderId="0" xfId="3" applyFont="1" applyAlignment="1">
      <alignment horizontal="center" vertical="center" wrapText="1"/>
    </xf>
    <xf numFmtId="0" fontId="86" fillId="0" borderId="1" xfId="7" applyFont="1" applyBorder="1" applyAlignment="1">
      <alignment horizontal="left" wrapText="1"/>
    </xf>
    <xf numFmtId="0" fontId="70" fillId="0" borderId="1" xfId="7" applyFont="1" applyBorder="1" applyAlignment="1">
      <alignment horizontal="center" vertical="top"/>
    </xf>
    <xf numFmtId="0" fontId="70" fillId="0" borderId="48" xfId="7" applyFont="1" applyBorder="1" applyAlignment="1">
      <alignment horizontal="center" vertical="top"/>
    </xf>
    <xf numFmtId="0" fontId="70" fillId="0" borderId="50" xfId="7" applyFont="1" applyBorder="1" applyAlignment="1">
      <alignment horizontal="center" vertical="top"/>
    </xf>
    <xf numFmtId="0" fontId="66" fillId="0" borderId="1" xfId="7" applyFont="1" applyBorder="1" applyAlignment="1">
      <alignment vertical="top" wrapText="1"/>
    </xf>
    <xf numFmtId="0" fontId="79" fillId="0" borderId="1" xfId="8" applyBorder="1" applyAlignment="1" applyProtection="1">
      <alignment vertical="top" wrapText="1"/>
    </xf>
    <xf numFmtId="0" fontId="66" fillId="0" borderId="1" xfId="7" applyFont="1" applyBorder="1" applyAlignment="1">
      <alignment horizontal="left" vertical="top" wrapText="1"/>
    </xf>
    <xf numFmtId="0" fontId="84" fillId="0" borderId="1" xfId="7" applyFont="1" applyBorder="1" applyAlignment="1">
      <alignment horizontal="left" wrapText="1"/>
    </xf>
    <xf numFmtId="0" fontId="84" fillId="0" borderId="1" xfId="7" applyFont="1" applyBorder="1" applyAlignment="1">
      <alignment horizontal="right" vertical="top" wrapText="1"/>
    </xf>
    <xf numFmtId="0" fontId="1" fillId="0" borderId="1" xfId="7" applyBorder="1"/>
    <xf numFmtId="0" fontId="79" fillId="0" borderId="1" xfId="8" applyBorder="1" applyAlignment="1" applyProtection="1">
      <alignment horizontal="center" vertical="top" wrapText="1"/>
    </xf>
    <xf numFmtId="0" fontId="84" fillId="0" borderId="1" xfId="7" applyFont="1" applyBorder="1" applyAlignment="1">
      <alignment horizontal="center" vertical="top" wrapText="1"/>
    </xf>
    <xf numFmtId="0" fontId="78" fillId="0" borderId="1" xfId="7" applyFont="1" applyBorder="1" applyAlignment="1">
      <alignment horizontal="center" vertical="top" wrapText="1"/>
    </xf>
    <xf numFmtId="0" fontId="87" fillId="0" borderId="48" xfId="7" applyFont="1" applyBorder="1" applyAlignment="1">
      <alignment horizontal="center" vertical="center" wrapText="1"/>
    </xf>
    <xf numFmtId="0" fontId="87" fillId="0" borderId="50" xfId="7" applyFont="1" applyBorder="1" applyAlignment="1">
      <alignment horizontal="center" vertical="center" wrapText="1"/>
    </xf>
    <xf numFmtId="0" fontId="74" fillId="0" borderId="48" xfId="7" applyFont="1" applyBorder="1" applyAlignment="1">
      <alignment horizontal="center" vertical="center" wrapText="1"/>
    </xf>
    <xf numFmtId="0" fontId="74" fillId="0" borderId="50" xfId="7" applyFont="1" applyBorder="1" applyAlignment="1">
      <alignment horizontal="center" vertical="center" wrapText="1"/>
    </xf>
    <xf numFmtId="0" fontId="66" fillId="0" borderId="1" xfId="7" applyFont="1" applyBorder="1" applyAlignment="1">
      <alignment horizontal="center" vertical="top" wrapText="1"/>
    </xf>
    <xf numFmtId="0" fontId="75" fillId="0" borderId="1" xfId="7" applyFont="1" applyBorder="1" applyAlignment="1">
      <alignment horizontal="center" vertical="top" wrapText="1"/>
    </xf>
    <xf numFmtId="0" fontId="72" fillId="0" borderId="1" xfId="7" applyFont="1" applyBorder="1" applyAlignment="1">
      <alignment horizontal="center" vertical="top" wrapText="1"/>
    </xf>
    <xf numFmtId="0" fontId="76" fillId="0" borderId="42" xfId="7" applyFont="1" applyBorder="1" applyAlignment="1">
      <alignment vertical="top" wrapText="1"/>
    </xf>
    <xf numFmtId="0" fontId="76" fillId="0" borderId="36" xfId="7" applyFont="1" applyBorder="1" applyAlignment="1">
      <alignment vertical="top" wrapText="1"/>
    </xf>
    <xf numFmtId="0" fontId="76" fillId="0" borderId="37" xfId="7" applyFont="1" applyBorder="1" applyAlignment="1">
      <alignment vertical="top" wrapText="1"/>
    </xf>
    <xf numFmtId="0" fontId="70" fillId="0" borderId="42" xfId="7" applyFont="1" applyBorder="1" applyAlignment="1">
      <alignment horizontal="center" vertical="top" wrapText="1"/>
    </xf>
    <xf numFmtId="0" fontId="70" fillId="0" borderId="37" xfId="7" applyFont="1" applyBorder="1" applyAlignment="1">
      <alignment horizontal="center" vertical="top" wrapText="1"/>
    </xf>
    <xf numFmtId="0" fontId="70" fillId="0" borderId="22" xfId="7" applyFont="1" applyBorder="1" applyAlignment="1">
      <alignment horizontal="center" vertical="top" wrapText="1"/>
    </xf>
    <xf numFmtId="0" fontId="70" fillId="0" borderId="38" xfId="7" applyFont="1" applyBorder="1" applyAlignment="1">
      <alignment horizontal="center" vertical="top" wrapText="1"/>
    </xf>
    <xf numFmtId="0" fontId="70" fillId="0" borderId="39" xfId="7" applyFont="1" applyBorder="1" applyAlignment="1">
      <alignment horizontal="center" vertical="top" wrapText="1"/>
    </xf>
    <xf numFmtId="0" fontId="70" fillId="0" borderId="41" xfId="7" applyFont="1" applyBorder="1" applyAlignment="1">
      <alignment horizontal="center" vertical="top" wrapText="1"/>
    </xf>
    <xf numFmtId="0" fontId="76" fillId="0" borderId="22" xfId="7" applyFont="1" applyBorder="1" applyAlignment="1">
      <alignment vertical="top" wrapText="1"/>
    </xf>
    <xf numFmtId="0" fontId="1" fillId="0" borderId="0" xfId="7"/>
    <xf numFmtId="0" fontId="1" fillId="0" borderId="38" xfId="7" applyBorder="1"/>
    <xf numFmtId="0" fontId="76" fillId="0" borderId="39" xfId="7" applyFont="1" applyBorder="1" applyAlignment="1">
      <alignment vertical="top" wrapText="1"/>
    </xf>
    <xf numFmtId="0" fontId="1" fillId="0" borderId="40" xfId="7" applyBorder="1"/>
    <xf numFmtId="0" fontId="1" fillId="0" borderId="41" xfId="7" applyBorder="1"/>
    <xf numFmtId="0" fontId="78" fillId="0" borderId="1" xfId="7" applyFont="1" applyBorder="1" applyAlignment="1">
      <alignment vertical="top" wrapText="1"/>
    </xf>
    <xf numFmtId="0" fontId="73" fillId="0" borderId="1" xfId="7" applyFont="1" applyBorder="1" applyAlignment="1">
      <alignment horizontal="center" vertical="center" wrapText="1"/>
    </xf>
    <xf numFmtId="0" fontId="73" fillId="0" borderId="48" xfId="7" applyFont="1" applyBorder="1" applyAlignment="1">
      <alignment horizontal="center" vertical="center" wrapText="1"/>
    </xf>
    <xf numFmtId="0" fontId="73" fillId="0" borderId="50" xfId="7" applyFont="1" applyBorder="1" applyAlignment="1">
      <alignment horizontal="center" vertical="center" wrapText="1"/>
    </xf>
    <xf numFmtId="0" fontId="68" fillId="0" borderId="40" xfId="7" applyFont="1" applyBorder="1" applyAlignment="1">
      <alignment horizontal="center" wrapText="1"/>
    </xf>
    <xf numFmtId="0" fontId="69" fillId="0" borderId="1" xfId="7" applyFont="1" applyBorder="1" applyAlignment="1">
      <alignment horizontal="center" vertical="top" wrapText="1"/>
    </xf>
    <xf numFmtId="0" fontId="70" fillId="0" borderId="1" xfId="7" applyFont="1" applyBorder="1" applyAlignment="1">
      <alignment horizontal="center" vertical="top" wrapText="1"/>
    </xf>
    <xf numFmtId="0" fontId="70" fillId="0" borderId="42" xfId="7" applyFont="1" applyBorder="1" applyAlignment="1">
      <alignment horizontal="center" vertical="center" wrapText="1"/>
    </xf>
    <xf numFmtId="0" fontId="70" fillId="0" borderId="37" xfId="7" applyFont="1" applyBorder="1" applyAlignment="1">
      <alignment horizontal="center" vertical="center" wrapText="1"/>
    </xf>
    <xf numFmtId="0" fontId="70" fillId="0" borderId="39" xfId="7" applyFont="1" applyBorder="1" applyAlignment="1">
      <alignment horizontal="center" vertical="center" wrapText="1"/>
    </xf>
    <xf numFmtId="0" fontId="70" fillId="0" borderId="41" xfId="7" applyFont="1" applyBorder="1" applyAlignment="1">
      <alignment horizontal="center" vertical="center" wrapText="1"/>
    </xf>
    <xf numFmtId="0" fontId="71" fillId="0" borderId="1" xfId="7" applyFont="1" applyBorder="1" applyAlignment="1">
      <alignment horizontal="center" vertical="center" wrapText="1"/>
    </xf>
    <xf numFmtId="0" fontId="65" fillId="0" borderId="68" xfId="0" applyFont="1" applyBorder="1" applyAlignment="1">
      <alignment horizontal="center" vertical="center"/>
    </xf>
    <xf numFmtId="0" fontId="65" fillId="0" borderId="69" xfId="0" applyFont="1" applyBorder="1" applyAlignment="1">
      <alignment horizontal="center" vertical="center"/>
    </xf>
    <xf numFmtId="0" fontId="65" fillId="0" borderId="70" xfId="0" applyFont="1" applyBorder="1" applyAlignment="1">
      <alignment horizontal="center" vertical="center"/>
    </xf>
    <xf numFmtId="0" fontId="40" fillId="0" borderId="22" xfId="0" applyFont="1" applyBorder="1" applyAlignment="1">
      <alignment horizontal="center" vertical="center"/>
    </xf>
    <xf numFmtId="0" fontId="40" fillId="0" borderId="0" xfId="0" applyFont="1" applyAlignment="1">
      <alignment horizontal="center" vertical="center"/>
    </xf>
    <xf numFmtId="172" fontId="40" fillId="0" borderId="22" xfId="0" applyNumberFormat="1" applyFont="1" applyBorder="1" applyAlignment="1">
      <alignment horizontal="center" vertical="center"/>
    </xf>
    <xf numFmtId="172" fontId="40" fillId="0" borderId="0" xfId="0" applyNumberFormat="1" applyFont="1" applyAlignment="1">
      <alignment horizontal="center" vertical="center"/>
    </xf>
  </cellXfs>
  <cellStyles count="9">
    <cellStyle name="Lien hypertexte" xfId="6" builtinId="8"/>
    <cellStyle name="Lien hypertexte 2" xfId="8" xr:uid="{00000000-0005-0000-0000-000001000000}"/>
    <cellStyle name="Milliers" xfId="1" builtinId="3"/>
    <cellStyle name="Normal" xfId="0" builtinId="0"/>
    <cellStyle name="Normal 2" xfId="2" xr:uid="{00000000-0005-0000-0000-000004000000}"/>
    <cellStyle name="Normal 3" xfId="3" xr:uid="{00000000-0005-0000-0000-000005000000}"/>
    <cellStyle name="Normal 4" xfId="7" xr:uid="{00000000-0005-0000-0000-000006000000}"/>
    <cellStyle name="Normal_feuille r-sultats 10 joueurs" xfId="4" xr:uid="{00000000-0005-0000-0000-000007000000}"/>
    <cellStyle name="Normal_feuille r-sultats 10 joueurs 2" xfId="5" xr:uid="{00000000-0005-0000-0000-000008000000}"/>
  </cellStyles>
  <dxfs count="29">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ill>
        <patternFill>
          <bgColor theme="0" tint="-0.34998626667073579"/>
        </patternFill>
      </fill>
    </dxf>
    <dxf>
      <fill>
        <patternFill>
          <bgColor theme="0" tint="-0.34998626667073579"/>
        </patternFill>
      </fill>
    </dxf>
    <dxf>
      <fill>
        <patternFill>
          <bgColor theme="0" tint="-0.34998626667073579"/>
        </patternFill>
      </fill>
    </dxf>
    <dxf>
      <font>
        <color theme="0"/>
      </font>
    </dxf>
    <dxf>
      <font>
        <color theme="0"/>
      </font>
    </dxf>
    <dxf>
      <font>
        <color theme="0"/>
      </font>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FF0000"/>
      </font>
      <fill>
        <patternFill>
          <bgColor theme="3" tint="0.59996337778862885"/>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295275</xdr:colOff>
      <xdr:row>2</xdr:row>
      <xdr:rowOff>247650</xdr:rowOff>
    </xdr:from>
    <xdr:to>
      <xdr:col>3</xdr:col>
      <xdr:colOff>1000125</xdr:colOff>
      <xdr:row>7</xdr:row>
      <xdr:rowOff>161925</xdr:rowOff>
    </xdr:to>
    <xdr:pic>
      <xdr:nvPicPr>
        <xdr:cNvPr id="1055" name="Picture 2">
          <a:extLst>
            <a:ext uri="{FF2B5EF4-FFF2-40B4-BE49-F238E27FC236}">
              <a16:creationId xmlns:a16="http://schemas.microsoft.com/office/drawing/2014/main" id="{00000000-0008-0000-0300-00001F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0575" y="1038225"/>
          <a:ext cx="186690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13</xdr:col>
      <xdr:colOff>152400</xdr:colOff>
      <xdr:row>2</xdr:row>
      <xdr:rowOff>295275</xdr:rowOff>
    </xdr:from>
    <xdr:to>
      <xdr:col>15</xdr:col>
      <xdr:colOff>533400</xdr:colOff>
      <xdr:row>7</xdr:row>
      <xdr:rowOff>200025</xdr:rowOff>
    </xdr:to>
    <xdr:pic>
      <xdr:nvPicPr>
        <xdr:cNvPr id="1056" name="Image 1">
          <a:extLst>
            <a:ext uri="{FF2B5EF4-FFF2-40B4-BE49-F238E27FC236}">
              <a16:creationId xmlns:a16="http://schemas.microsoft.com/office/drawing/2014/main" id="{00000000-0008-0000-0300-000020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296150" y="1085850"/>
          <a:ext cx="1847850"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209550</xdr:colOff>
      <xdr:row>10</xdr:row>
      <xdr:rowOff>85725</xdr:rowOff>
    </xdr:from>
    <xdr:to>
      <xdr:col>4</xdr:col>
      <xdr:colOff>400050</xdr:colOff>
      <xdr:row>16</xdr:row>
      <xdr:rowOff>76200</xdr:rowOff>
    </xdr:to>
    <xdr:pic>
      <xdr:nvPicPr>
        <xdr:cNvPr id="2064" name="Image 1">
          <a:extLst>
            <a:ext uri="{FF2B5EF4-FFF2-40B4-BE49-F238E27FC236}">
              <a16:creationId xmlns:a16="http://schemas.microsoft.com/office/drawing/2014/main" id="{00000000-0008-0000-0400-0000100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85925" y="2457450"/>
          <a:ext cx="2038350"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190500</xdr:colOff>
      <xdr:row>0</xdr:row>
      <xdr:rowOff>133350</xdr:rowOff>
    </xdr:from>
    <xdr:to>
      <xdr:col>1</xdr:col>
      <xdr:colOff>628577</xdr:colOff>
      <xdr:row>0</xdr:row>
      <xdr:rowOff>1033350</xdr:rowOff>
    </xdr:to>
    <xdr:pic>
      <xdr:nvPicPr>
        <xdr:cNvPr id="2" name="Imag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133350"/>
          <a:ext cx="1200077" cy="900000"/>
        </a:xfrm>
        <a:prstGeom prst="rect">
          <a:avLst/>
        </a:prstGeom>
      </xdr:spPr>
    </xdr:pic>
    <xdr:clientData/>
  </xdr:twoCellAnchor>
  <xdr:twoCellAnchor editAs="oneCell">
    <xdr:from>
      <xdr:col>5</xdr:col>
      <xdr:colOff>323850</xdr:colOff>
      <xdr:row>0</xdr:row>
      <xdr:rowOff>152400</xdr:rowOff>
    </xdr:from>
    <xdr:to>
      <xdr:col>6</xdr:col>
      <xdr:colOff>457505</xdr:colOff>
      <xdr:row>0</xdr:row>
      <xdr:rowOff>1052400</xdr:rowOff>
    </xdr:to>
    <xdr:pic>
      <xdr:nvPicPr>
        <xdr:cNvPr id="3" name="Image 2">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43675" y="152400"/>
          <a:ext cx="895655" cy="90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sclient\DISK_USB%20DISK\Users\Administratif\Downloads\Feuilles%20de%20resultat%20individuel%202012_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sclient\DISK_USB%20DISK\Billard%20CDBO\Resultats\Copie%20de%202013_Individuel_Libre_N3_Finale_Ois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uille de match"/>
      <sheetName val="Résultat Oise"/>
      <sheetName val="Engagement Ligue"/>
      <sheetName val="Résultat ligue"/>
      <sheetName val="Engagement Secteur"/>
      <sheetName val="Résultat secteur"/>
      <sheetName val="Joueurs"/>
    </sheetNames>
    <sheetDataSet>
      <sheetData sheetId="0">
        <row r="2">
          <cell r="R2">
            <v>0</v>
          </cell>
        </row>
        <row r="4">
          <cell r="R4">
            <v>0</v>
          </cell>
          <cell r="S4">
            <v>0</v>
          </cell>
          <cell r="T4">
            <v>0</v>
          </cell>
          <cell r="U4">
            <v>0</v>
          </cell>
        </row>
        <row r="5">
          <cell r="R5">
            <v>0</v>
          </cell>
          <cell r="S5">
            <v>0</v>
          </cell>
          <cell r="T5">
            <v>0</v>
          </cell>
          <cell r="U5">
            <v>0</v>
          </cell>
        </row>
        <row r="6">
          <cell r="R6">
            <v>0</v>
          </cell>
          <cell r="S6">
            <v>0</v>
          </cell>
          <cell r="T6">
            <v>0</v>
          </cell>
          <cell r="U6">
            <v>0</v>
          </cell>
        </row>
        <row r="7">
          <cell r="R7">
            <v>0</v>
          </cell>
          <cell r="S7">
            <v>0</v>
          </cell>
          <cell r="T7">
            <v>0</v>
          </cell>
          <cell r="U7">
            <v>0</v>
          </cell>
        </row>
        <row r="8">
          <cell r="R8">
            <v>0</v>
          </cell>
          <cell r="S8">
            <v>0</v>
          </cell>
          <cell r="T8">
            <v>0</v>
          </cell>
          <cell r="U8">
            <v>0</v>
          </cell>
        </row>
        <row r="9">
          <cell r="R9">
            <v>0</v>
          </cell>
          <cell r="S9">
            <v>0</v>
          </cell>
          <cell r="T9">
            <v>0</v>
          </cell>
          <cell r="U9">
            <v>0</v>
          </cell>
        </row>
        <row r="10">
          <cell r="R10">
            <v>0</v>
          </cell>
          <cell r="U10">
            <v>0</v>
          </cell>
        </row>
        <row r="11">
          <cell r="R11">
            <v>0</v>
          </cell>
          <cell r="U11">
            <v>0</v>
          </cell>
        </row>
        <row r="12">
          <cell r="R12">
            <v>0</v>
          </cell>
          <cell r="U12">
            <v>0</v>
          </cell>
        </row>
        <row r="13">
          <cell r="R13">
            <v>0</v>
          </cell>
          <cell r="U13">
            <v>0</v>
          </cell>
        </row>
        <row r="16">
          <cell r="H16">
            <v>0</v>
          </cell>
          <cell r="I16">
            <v>0</v>
          </cell>
          <cell r="J16">
            <v>0</v>
          </cell>
        </row>
        <row r="17">
          <cell r="H17">
            <v>0</v>
          </cell>
          <cell r="J17">
            <v>0</v>
          </cell>
        </row>
        <row r="20">
          <cell r="H20">
            <v>0</v>
          </cell>
          <cell r="I20">
            <v>0</v>
          </cell>
          <cell r="J20">
            <v>0</v>
          </cell>
        </row>
        <row r="21">
          <cell r="H21">
            <v>0</v>
          </cell>
          <cell r="J21">
            <v>0</v>
          </cell>
        </row>
        <row r="24">
          <cell r="H24">
            <v>0</v>
          </cell>
          <cell r="I24">
            <v>0</v>
          </cell>
          <cell r="J24">
            <v>0</v>
          </cell>
        </row>
        <row r="25">
          <cell r="H25">
            <v>0</v>
          </cell>
          <cell r="J25">
            <v>0</v>
          </cell>
        </row>
        <row r="28">
          <cell r="H28">
            <v>0</v>
          </cell>
          <cell r="I28">
            <v>0</v>
          </cell>
          <cell r="J28">
            <v>0</v>
          </cell>
        </row>
        <row r="29">
          <cell r="H29">
            <v>0</v>
          </cell>
          <cell r="J29">
            <v>0</v>
          </cell>
        </row>
        <row r="32">
          <cell r="H32">
            <v>0</v>
          </cell>
          <cell r="I32">
            <v>0</v>
          </cell>
          <cell r="J32">
            <v>0</v>
          </cell>
        </row>
        <row r="33">
          <cell r="H33">
            <v>0</v>
          </cell>
          <cell r="J33">
            <v>0</v>
          </cell>
        </row>
        <row r="36">
          <cell r="H36">
            <v>0</v>
          </cell>
          <cell r="I36">
            <v>0</v>
          </cell>
          <cell r="J36">
            <v>0</v>
          </cell>
        </row>
        <row r="37">
          <cell r="H37">
            <v>0</v>
          </cell>
          <cell r="J37">
            <v>0</v>
          </cell>
        </row>
        <row r="40">
          <cell r="H40">
            <v>0</v>
          </cell>
          <cell r="I40">
            <v>0</v>
          </cell>
          <cell r="J40">
            <v>0</v>
          </cell>
        </row>
        <row r="41">
          <cell r="H41">
            <v>0</v>
          </cell>
          <cell r="J41">
            <v>0</v>
          </cell>
        </row>
        <row r="44">
          <cell r="H44">
            <v>0</v>
          </cell>
          <cell r="I44">
            <v>0</v>
          </cell>
          <cell r="J44">
            <v>0</v>
          </cell>
        </row>
        <row r="45">
          <cell r="H45">
            <v>0</v>
          </cell>
          <cell r="J45">
            <v>0</v>
          </cell>
        </row>
        <row r="48">
          <cell r="H48">
            <v>0</v>
          </cell>
          <cell r="I48">
            <v>0</v>
          </cell>
          <cell r="J48">
            <v>0</v>
          </cell>
        </row>
        <row r="49">
          <cell r="H49">
            <v>0</v>
          </cell>
          <cell r="J49">
            <v>0</v>
          </cell>
        </row>
        <row r="52">
          <cell r="H52">
            <v>0</v>
          </cell>
          <cell r="I52">
            <v>0</v>
          </cell>
          <cell r="J52">
            <v>0</v>
          </cell>
        </row>
        <row r="53">
          <cell r="H53">
            <v>0</v>
          </cell>
          <cell r="J53">
            <v>0</v>
          </cell>
        </row>
        <row r="84">
          <cell r="AO84">
            <v>0</v>
          </cell>
          <cell r="AP84">
            <v>0</v>
          </cell>
          <cell r="AQ84">
            <v>0</v>
          </cell>
          <cell r="AR84">
            <v>0</v>
          </cell>
          <cell r="AS84">
            <v>0</v>
          </cell>
          <cell r="AT84">
            <v>0</v>
          </cell>
          <cell r="AU84">
            <v>0</v>
          </cell>
          <cell r="AV84">
            <v>1</v>
          </cell>
          <cell r="AW84">
            <v>0</v>
          </cell>
          <cell r="AX84">
            <v>0</v>
          </cell>
          <cell r="AY84">
            <v>0</v>
          </cell>
          <cell r="BV84" t="str">
            <v>NATIONAL 1</v>
          </cell>
          <cell r="BY84" t="str">
            <v>libreNATIONAL 1</v>
          </cell>
          <cell r="BZ84" t="str">
            <v>libre</v>
          </cell>
          <cell r="CA84">
            <v>1</v>
          </cell>
          <cell r="CB84" t="str">
            <v>NATIONAL 1</v>
          </cell>
          <cell r="CC84">
            <v>300</v>
          </cell>
          <cell r="CD84">
            <v>25</v>
          </cell>
        </row>
        <row r="85">
          <cell r="AO85">
            <v>0</v>
          </cell>
          <cell r="AP85">
            <v>0</v>
          </cell>
          <cell r="AQ85">
            <v>0</v>
          </cell>
          <cell r="AR85">
            <v>0</v>
          </cell>
          <cell r="AS85">
            <v>0</v>
          </cell>
          <cell r="AT85">
            <v>0</v>
          </cell>
          <cell r="AU85">
            <v>0</v>
          </cell>
          <cell r="AV85">
            <v>1</v>
          </cell>
          <cell r="AW85">
            <v>0</v>
          </cell>
          <cell r="AX85">
            <v>0</v>
          </cell>
          <cell r="AY85">
            <v>0</v>
          </cell>
          <cell r="BV85" t="str">
            <v>NATIONAL 2</v>
          </cell>
          <cell r="BY85" t="str">
            <v>libreNATIONAL 3</v>
          </cell>
          <cell r="BZ85" t="str">
            <v>libre</v>
          </cell>
          <cell r="CA85">
            <v>2</v>
          </cell>
          <cell r="CB85" t="str">
            <v>NATIONAL 3</v>
          </cell>
          <cell r="CC85">
            <v>200</v>
          </cell>
          <cell r="CD85">
            <v>25</v>
          </cell>
        </row>
        <row r="86">
          <cell r="AT86" t="str">
            <v>P1</v>
          </cell>
          <cell r="AU86" t="str">
            <v>Perdant 1</v>
          </cell>
          <cell r="AV86">
            <v>0</v>
          </cell>
          <cell r="AW86">
            <v>0</v>
          </cell>
          <cell r="AX86">
            <v>0</v>
          </cell>
          <cell r="BV86" t="str">
            <v>NATIONAL 3</v>
          </cell>
          <cell r="BY86" t="str">
            <v>libreREGIONAL 1</v>
          </cell>
          <cell r="BZ86" t="str">
            <v>libre</v>
          </cell>
          <cell r="CA86">
            <v>3</v>
          </cell>
          <cell r="CB86" t="str">
            <v>REGIONAL 1</v>
          </cell>
          <cell r="CC86">
            <v>150</v>
          </cell>
          <cell r="CD86">
            <v>30</v>
          </cell>
        </row>
        <row r="87">
          <cell r="AT87" t="str">
            <v>V1</v>
          </cell>
          <cell r="AU87" t="str">
            <v>Vainqueur 1</v>
          </cell>
          <cell r="AV87">
            <v>0</v>
          </cell>
          <cell r="AW87">
            <v>0</v>
          </cell>
          <cell r="AX87">
            <v>0</v>
          </cell>
          <cell r="BV87" t="str">
            <v>REGIONAL 1</v>
          </cell>
          <cell r="BY87" t="str">
            <v>libreREGIONAL 2</v>
          </cell>
          <cell r="BZ87" t="str">
            <v>libre</v>
          </cell>
          <cell r="CA87">
            <v>4</v>
          </cell>
          <cell r="CB87" t="str">
            <v>REGIONAL 2</v>
          </cell>
          <cell r="CC87">
            <v>100</v>
          </cell>
          <cell r="CD87">
            <v>30</v>
          </cell>
        </row>
        <row r="88">
          <cell r="BV88" t="str">
            <v>REGIONAL 2</v>
          </cell>
          <cell r="BY88" t="str">
            <v>libreREGIONAL 3</v>
          </cell>
          <cell r="BZ88" t="str">
            <v>libre</v>
          </cell>
          <cell r="CA88">
            <v>5</v>
          </cell>
          <cell r="CB88" t="str">
            <v>REGIONAL 3</v>
          </cell>
          <cell r="CC88">
            <v>70</v>
          </cell>
          <cell r="CD88">
            <v>40</v>
          </cell>
        </row>
        <row r="89">
          <cell r="BV89" t="str">
            <v>REGIONAL 3</v>
          </cell>
          <cell r="BY89" t="str">
            <v>libreREGIONAL 4</v>
          </cell>
          <cell r="BZ89" t="str">
            <v>libre</v>
          </cell>
          <cell r="CA89">
            <v>6</v>
          </cell>
          <cell r="CB89" t="str">
            <v>REGIONAL 4</v>
          </cell>
          <cell r="CC89">
            <v>50</v>
          </cell>
          <cell r="CD89">
            <v>50</v>
          </cell>
        </row>
        <row r="90">
          <cell r="AO90">
            <v>0</v>
          </cell>
          <cell r="AP90">
            <v>0</v>
          </cell>
          <cell r="AQ90">
            <v>0</v>
          </cell>
          <cell r="AR90">
            <v>0</v>
          </cell>
          <cell r="AS90">
            <v>0</v>
          </cell>
          <cell r="AT90">
            <v>0</v>
          </cell>
          <cell r="AU90">
            <v>0</v>
          </cell>
          <cell r="AV90">
            <v>1</v>
          </cell>
          <cell r="AW90">
            <v>0</v>
          </cell>
          <cell r="AX90">
            <v>0</v>
          </cell>
          <cell r="AY90">
            <v>0</v>
          </cell>
          <cell r="BV90" t="str">
            <v>REGIONAL 4</v>
          </cell>
          <cell r="BY90" t="str">
            <v>libreESPOIRS</v>
          </cell>
          <cell r="BZ90" t="str">
            <v>libre</v>
          </cell>
          <cell r="CA90">
            <v>7</v>
          </cell>
          <cell r="CB90" t="str">
            <v>ESPOIRS</v>
          </cell>
          <cell r="CC90" t="str">
            <v xml:space="preserve">300 (1) </v>
          </cell>
          <cell r="CD90">
            <v>20</v>
          </cell>
        </row>
        <row r="91">
          <cell r="AO91">
            <v>0</v>
          </cell>
          <cell r="AP91">
            <v>0</v>
          </cell>
          <cell r="AQ91">
            <v>0</v>
          </cell>
          <cell r="AR91">
            <v>0</v>
          </cell>
          <cell r="AS91">
            <v>0</v>
          </cell>
          <cell r="AT91">
            <v>0</v>
          </cell>
          <cell r="AU91">
            <v>0</v>
          </cell>
          <cell r="AV91">
            <v>1</v>
          </cell>
          <cell r="AW91">
            <v>0</v>
          </cell>
          <cell r="AX91">
            <v>0</v>
          </cell>
          <cell r="AY91">
            <v>0</v>
          </cell>
          <cell r="BV91" t="str">
            <v>ESPOIRS</v>
          </cell>
          <cell r="BY91" t="str">
            <v xml:space="preserve">libreJUNIORS Régionaux </v>
          </cell>
          <cell r="BZ91" t="str">
            <v>libre</v>
          </cell>
          <cell r="CA91">
            <v>8</v>
          </cell>
          <cell r="CB91" t="str">
            <v xml:space="preserve">JUNIORS Régionaux </v>
          </cell>
          <cell r="CC91" t="str">
            <v xml:space="preserve">120 (1) </v>
          </cell>
          <cell r="CD91">
            <v>20</v>
          </cell>
        </row>
        <row r="92">
          <cell r="AT92" t="str">
            <v>P2</v>
          </cell>
          <cell r="AU92" t="str">
            <v>Perdant 2</v>
          </cell>
          <cell r="AV92">
            <v>0</v>
          </cell>
          <cell r="AW92">
            <v>0</v>
          </cell>
          <cell r="AX92">
            <v>0</v>
          </cell>
          <cell r="AY92">
            <v>0</v>
          </cell>
          <cell r="BV92" t="str">
            <v xml:space="preserve">JUNIORS Régionaux </v>
          </cell>
          <cell r="BY92" t="str">
            <v xml:space="preserve">libreCADETS Nationaux </v>
          </cell>
          <cell r="BZ92" t="str">
            <v>libre</v>
          </cell>
          <cell r="CA92">
            <v>9</v>
          </cell>
          <cell r="CB92" t="str">
            <v xml:space="preserve">CADETS Nationaux </v>
          </cell>
          <cell r="CC92" t="str">
            <v xml:space="preserve">200 (1) </v>
          </cell>
          <cell r="CD92">
            <v>20</v>
          </cell>
        </row>
        <row r="93">
          <cell r="AT93" t="str">
            <v>V2</v>
          </cell>
          <cell r="AU93" t="str">
            <v>Vainqueur 2</v>
          </cell>
          <cell r="AV93">
            <v>0</v>
          </cell>
          <cell r="AW93">
            <v>0</v>
          </cell>
          <cell r="AX93">
            <v>0</v>
          </cell>
          <cell r="BV93" t="str">
            <v xml:space="preserve">CADETS Nationaux </v>
          </cell>
          <cell r="BY93" t="str">
            <v xml:space="preserve">libreCADETS Régionaux 1 </v>
          </cell>
          <cell r="BZ93" t="str">
            <v>libre</v>
          </cell>
          <cell r="CA93">
            <v>10</v>
          </cell>
          <cell r="CB93" t="str">
            <v xml:space="preserve">CADETS Régionaux 1 </v>
          </cell>
          <cell r="CC93" t="str">
            <v xml:space="preserve">100 (1) </v>
          </cell>
          <cell r="CD93">
            <v>20</v>
          </cell>
        </row>
        <row r="94">
          <cell r="AV94">
            <v>0</v>
          </cell>
          <cell r="BV94" t="str">
            <v xml:space="preserve">CADETS Régionaux 1 </v>
          </cell>
          <cell r="BY94" t="str">
            <v>libreBENJAMIN</v>
          </cell>
          <cell r="BZ94" t="str">
            <v>libre</v>
          </cell>
          <cell r="CA94">
            <v>11</v>
          </cell>
          <cell r="CB94" t="str">
            <v>BENJAMIN</v>
          </cell>
          <cell r="CC94">
            <v>40</v>
          </cell>
          <cell r="CD94">
            <v>50</v>
          </cell>
        </row>
        <row r="95">
          <cell r="BV95" t="str">
            <v>BENJAMIN</v>
          </cell>
          <cell r="BY95" t="str">
            <v xml:space="preserve">libreCADETS Régionaux 2 </v>
          </cell>
          <cell r="BZ95" t="str">
            <v>libre</v>
          </cell>
          <cell r="CA95">
            <v>12</v>
          </cell>
          <cell r="CB95" t="str">
            <v xml:space="preserve">CADETS Régionaux 2 </v>
          </cell>
          <cell r="CC95" t="str">
            <v xml:space="preserve">50 (2) </v>
          </cell>
          <cell r="CD95">
            <v>40</v>
          </cell>
        </row>
        <row r="96">
          <cell r="AO96">
            <v>0</v>
          </cell>
          <cell r="AP96">
            <v>0</v>
          </cell>
          <cell r="AQ96">
            <v>0</v>
          </cell>
          <cell r="AR96">
            <v>0</v>
          </cell>
          <cell r="AS96">
            <v>0</v>
          </cell>
          <cell r="AT96">
            <v>0</v>
          </cell>
          <cell r="AU96">
            <v>0</v>
          </cell>
          <cell r="AV96">
            <v>1</v>
          </cell>
          <cell r="AW96">
            <v>0</v>
          </cell>
          <cell r="AX96">
            <v>0</v>
          </cell>
          <cell r="BV96" t="str">
            <v xml:space="preserve">CADETS Régionaux 2 </v>
          </cell>
          <cell r="BY96" t="str">
            <v>libre4 BILLES</v>
          </cell>
          <cell r="BZ96" t="str">
            <v>libre</v>
          </cell>
          <cell r="CA96">
            <v>13</v>
          </cell>
          <cell r="CB96" t="str">
            <v>4 BILLES</v>
          </cell>
          <cell r="CC96">
            <v>0</v>
          </cell>
          <cell r="CD96">
            <v>0</v>
          </cell>
        </row>
        <row r="97">
          <cell r="AO97">
            <v>0</v>
          </cell>
          <cell r="AP97">
            <v>0</v>
          </cell>
          <cell r="AQ97">
            <v>0</v>
          </cell>
          <cell r="AR97">
            <v>0</v>
          </cell>
          <cell r="AS97">
            <v>0</v>
          </cell>
          <cell r="AT97">
            <v>0</v>
          </cell>
          <cell r="AU97">
            <v>0</v>
          </cell>
          <cell r="AV97">
            <v>1</v>
          </cell>
          <cell r="AW97">
            <v>0</v>
          </cell>
          <cell r="AX97">
            <v>0</v>
          </cell>
          <cell r="BV97" t="str">
            <v>4 BILLES</v>
          </cell>
          <cell r="BY97" t="str">
            <v>libreFEMININES</v>
          </cell>
          <cell r="BZ97" t="str">
            <v>libre</v>
          </cell>
          <cell r="CA97">
            <v>14</v>
          </cell>
          <cell r="CB97" t="str">
            <v>FEMININES</v>
          </cell>
          <cell r="CC97" t="str">
            <v xml:space="preserve">120 (2) </v>
          </cell>
          <cell r="CD97">
            <v>40</v>
          </cell>
        </row>
        <row r="98">
          <cell r="BY98" t="str">
            <v>bandeNATIONAL 1</v>
          </cell>
          <cell r="BZ98" t="str">
            <v>bande</v>
          </cell>
          <cell r="CA98">
            <v>15</v>
          </cell>
          <cell r="CB98" t="str">
            <v>NATIONAL 1</v>
          </cell>
          <cell r="CC98">
            <v>100</v>
          </cell>
          <cell r="CD98">
            <v>40</v>
          </cell>
        </row>
        <row r="99">
          <cell r="BY99" t="str">
            <v>bandeNATIONAL 3</v>
          </cell>
          <cell r="BZ99" t="str">
            <v>bande</v>
          </cell>
          <cell r="CA99">
            <v>16</v>
          </cell>
          <cell r="CB99" t="str">
            <v>NATIONAL 3</v>
          </cell>
          <cell r="CC99">
            <v>80</v>
          </cell>
          <cell r="CD99">
            <v>40</v>
          </cell>
        </row>
        <row r="100">
          <cell r="AO100">
            <v>0</v>
          </cell>
          <cell r="AP100">
            <v>0</v>
          </cell>
          <cell r="AQ100">
            <v>0</v>
          </cell>
          <cell r="AR100">
            <v>0</v>
          </cell>
          <cell r="AS100">
            <v>0</v>
          </cell>
          <cell r="AT100">
            <v>0</v>
          </cell>
          <cell r="AU100">
            <v>0</v>
          </cell>
          <cell r="AV100">
            <v>1</v>
          </cell>
          <cell r="AW100">
            <v>0</v>
          </cell>
          <cell r="AX100">
            <v>0</v>
          </cell>
          <cell r="BY100" t="str">
            <v>bandeREGIONAL 1</v>
          </cell>
          <cell r="BZ100" t="str">
            <v>bande</v>
          </cell>
          <cell r="CA100">
            <v>17</v>
          </cell>
          <cell r="CB100" t="str">
            <v>REGIONAL 1</v>
          </cell>
          <cell r="CC100">
            <v>60</v>
          </cell>
          <cell r="CD100">
            <v>40</v>
          </cell>
        </row>
        <row r="101">
          <cell r="AO101">
            <v>0</v>
          </cell>
          <cell r="AP101">
            <v>0</v>
          </cell>
          <cell r="AQ101">
            <v>0</v>
          </cell>
          <cell r="AR101">
            <v>0</v>
          </cell>
          <cell r="AS101">
            <v>0</v>
          </cell>
          <cell r="AT101">
            <v>0</v>
          </cell>
          <cell r="AU101">
            <v>0</v>
          </cell>
          <cell r="AV101">
            <v>1</v>
          </cell>
          <cell r="AW101">
            <v>0</v>
          </cell>
          <cell r="AX101">
            <v>0</v>
          </cell>
          <cell r="BY101" t="str">
            <v>bandeREGIONAL 2</v>
          </cell>
          <cell r="BZ101" t="str">
            <v>bande</v>
          </cell>
          <cell r="CA101">
            <v>18</v>
          </cell>
          <cell r="CB101" t="str">
            <v>REGIONAL 2</v>
          </cell>
          <cell r="CC101">
            <v>40</v>
          </cell>
          <cell r="CD101">
            <v>50</v>
          </cell>
        </row>
        <row r="102">
          <cell r="BY102" t="str">
            <v>cadreNATIONAL 1</v>
          </cell>
          <cell r="BZ102" t="str">
            <v>cadre</v>
          </cell>
          <cell r="CA102">
            <v>19</v>
          </cell>
          <cell r="CB102" t="str">
            <v>NATIONAL 1</v>
          </cell>
          <cell r="CC102">
            <v>200</v>
          </cell>
          <cell r="CD102">
            <v>20</v>
          </cell>
        </row>
        <row r="103">
          <cell r="BY103" t="str">
            <v>cadreNATIONAL 2</v>
          </cell>
          <cell r="BZ103" t="str">
            <v>cadre</v>
          </cell>
          <cell r="CA103">
            <v>20</v>
          </cell>
          <cell r="CB103" t="str">
            <v>NATIONAL 2</v>
          </cell>
          <cell r="CC103">
            <v>120</v>
          </cell>
          <cell r="CD103">
            <v>25</v>
          </cell>
        </row>
        <row r="104">
          <cell r="BY104" t="str">
            <v xml:space="preserve">cadreESPOIRS </v>
          </cell>
          <cell r="BZ104" t="str">
            <v>cadre</v>
          </cell>
          <cell r="CA104">
            <v>21</v>
          </cell>
          <cell r="CB104" t="str">
            <v xml:space="preserve">ESPOIRS </v>
          </cell>
          <cell r="CC104">
            <v>0</v>
          </cell>
          <cell r="CD104">
            <v>0</v>
          </cell>
        </row>
        <row r="105">
          <cell r="AO105">
            <v>0</v>
          </cell>
          <cell r="AP105">
            <v>0</v>
          </cell>
          <cell r="AQ105">
            <v>0</v>
          </cell>
          <cell r="AR105">
            <v>0</v>
          </cell>
          <cell r="AS105">
            <v>0</v>
          </cell>
          <cell r="AT105">
            <v>0</v>
          </cell>
          <cell r="AU105">
            <v>0</v>
          </cell>
          <cell r="AV105">
            <v>1</v>
          </cell>
          <cell r="AW105">
            <v>0</v>
          </cell>
          <cell r="AX105">
            <v>0</v>
          </cell>
          <cell r="BY105" t="str">
            <v>cadreNATIONAL 3</v>
          </cell>
          <cell r="BZ105" t="str">
            <v>cadre</v>
          </cell>
          <cell r="CA105">
            <v>22</v>
          </cell>
          <cell r="CB105" t="str">
            <v>NATIONAL 3</v>
          </cell>
          <cell r="CC105">
            <v>120</v>
          </cell>
          <cell r="CD105">
            <v>30</v>
          </cell>
        </row>
        <row r="106">
          <cell r="AO106">
            <v>0</v>
          </cell>
          <cell r="AP106">
            <v>0</v>
          </cell>
          <cell r="AQ106">
            <v>0</v>
          </cell>
          <cell r="AR106">
            <v>0</v>
          </cell>
          <cell r="AS106">
            <v>0</v>
          </cell>
          <cell r="AT106">
            <v>0</v>
          </cell>
          <cell r="AU106">
            <v>0</v>
          </cell>
          <cell r="AV106">
            <v>1</v>
          </cell>
          <cell r="AW106">
            <v>0</v>
          </cell>
          <cell r="AX106">
            <v>0</v>
          </cell>
          <cell r="BY106" t="str">
            <v>cadreREGIONAL 1</v>
          </cell>
          <cell r="BZ106" t="str">
            <v>cadre</v>
          </cell>
          <cell r="CA106">
            <v>23</v>
          </cell>
          <cell r="CB106" t="str">
            <v>REGIONAL 1</v>
          </cell>
          <cell r="CC106">
            <v>80</v>
          </cell>
          <cell r="CD106">
            <v>30</v>
          </cell>
        </row>
        <row r="107">
          <cell r="BY107" t="str">
            <v>3 bandesNATIONAL 1</v>
          </cell>
          <cell r="BZ107" t="str">
            <v>3 bandes</v>
          </cell>
          <cell r="CA107">
            <v>24</v>
          </cell>
          <cell r="CB107" t="str">
            <v>NATIONAL 1</v>
          </cell>
          <cell r="CC107">
            <v>35</v>
          </cell>
          <cell r="CD107">
            <v>50</v>
          </cell>
        </row>
        <row r="108">
          <cell r="BY108" t="str">
            <v>3 bandesNATIONAL 2</v>
          </cell>
          <cell r="BZ108" t="str">
            <v>3 bandes</v>
          </cell>
          <cell r="CA108">
            <v>25</v>
          </cell>
          <cell r="CB108" t="str">
            <v>NATIONAL 2</v>
          </cell>
          <cell r="CC108">
            <v>30</v>
          </cell>
          <cell r="CD108">
            <v>50</v>
          </cell>
        </row>
        <row r="109">
          <cell r="AO109">
            <v>0</v>
          </cell>
          <cell r="AP109">
            <v>0</v>
          </cell>
          <cell r="AQ109">
            <v>0</v>
          </cell>
          <cell r="AR109">
            <v>0</v>
          </cell>
          <cell r="AS109">
            <v>0</v>
          </cell>
          <cell r="AT109">
            <v>0</v>
          </cell>
          <cell r="AU109">
            <v>0</v>
          </cell>
          <cell r="AV109">
            <v>1</v>
          </cell>
          <cell r="AW109">
            <v>0</v>
          </cell>
          <cell r="AX109">
            <v>0</v>
          </cell>
          <cell r="BY109" t="str">
            <v>3 bandesNATIONAL 3</v>
          </cell>
          <cell r="BZ109" t="str">
            <v>3 bandes</v>
          </cell>
          <cell r="CA109">
            <v>26</v>
          </cell>
          <cell r="CB109" t="str">
            <v>NATIONAL 3</v>
          </cell>
          <cell r="CC109">
            <v>25</v>
          </cell>
          <cell r="CD109">
            <v>60</v>
          </cell>
        </row>
        <row r="110">
          <cell r="AO110">
            <v>0</v>
          </cell>
          <cell r="AP110">
            <v>0</v>
          </cell>
          <cell r="AQ110">
            <v>0</v>
          </cell>
          <cell r="AR110">
            <v>0</v>
          </cell>
          <cell r="AS110">
            <v>0</v>
          </cell>
          <cell r="AT110">
            <v>0</v>
          </cell>
          <cell r="AU110">
            <v>0</v>
          </cell>
          <cell r="AV110">
            <v>1</v>
          </cell>
          <cell r="AW110">
            <v>0</v>
          </cell>
          <cell r="AX110">
            <v>0</v>
          </cell>
          <cell r="BY110" t="str">
            <v xml:space="preserve">3 bandesFEMININES  </v>
          </cell>
          <cell r="BZ110" t="str">
            <v>3 bandes</v>
          </cell>
          <cell r="CA110">
            <v>27</v>
          </cell>
          <cell r="CB110" t="str">
            <v xml:space="preserve">FEMININES  </v>
          </cell>
          <cell r="CC110">
            <v>0</v>
          </cell>
          <cell r="CD110">
            <v>0</v>
          </cell>
        </row>
        <row r="111">
          <cell r="BY111" t="str">
            <v xml:space="preserve">3 bandesESPOIRS </v>
          </cell>
          <cell r="BZ111" t="str">
            <v>3 bandes</v>
          </cell>
          <cell r="CA111">
            <v>28</v>
          </cell>
          <cell r="CB111" t="str">
            <v xml:space="preserve">ESPOIRS </v>
          </cell>
          <cell r="CC111">
            <v>0</v>
          </cell>
          <cell r="CD111">
            <v>0</v>
          </cell>
        </row>
        <row r="112">
          <cell r="BY112" t="str">
            <v xml:space="preserve">3 bandesCADETS </v>
          </cell>
          <cell r="BZ112" t="str">
            <v>3 bandes</v>
          </cell>
          <cell r="CA112">
            <v>29</v>
          </cell>
          <cell r="CB112" t="str">
            <v xml:space="preserve">CADETS </v>
          </cell>
          <cell r="CC112">
            <v>0</v>
          </cell>
          <cell r="CD112">
            <v>0</v>
          </cell>
        </row>
        <row r="113">
          <cell r="AO113">
            <v>0</v>
          </cell>
          <cell r="AP113">
            <v>0</v>
          </cell>
          <cell r="AQ113">
            <v>0</v>
          </cell>
          <cell r="AR113">
            <v>0</v>
          </cell>
          <cell r="AS113">
            <v>0</v>
          </cell>
          <cell r="AT113">
            <v>0</v>
          </cell>
          <cell r="AU113">
            <v>0</v>
          </cell>
          <cell r="AV113">
            <v>1</v>
          </cell>
          <cell r="AW113">
            <v>0</v>
          </cell>
          <cell r="AX113">
            <v>0</v>
          </cell>
          <cell r="BY113" t="str">
            <v>3 bandesREGIONAL 1</v>
          </cell>
          <cell r="BZ113" t="str">
            <v>3 bandes</v>
          </cell>
          <cell r="CA113">
            <v>30</v>
          </cell>
          <cell r="CB113" t="str">
            <v>REGIONAL 1</v>
          </cell>
          <cell r="CC113">
            <v>20</v>
          </cell>
          <cell r="CD113">
            <v>60</v>
          </cell>
        </row>
        <row r="114">
          <cell r="AO114">
            <v>0</v>
          </cell>
          <cell r="AP114">
            <v>0</v>
          </cell>
          <cell r="AQ114">
            <v>0</v>
          </cell>
          <cell r="AR114">
            <v>0</v>
          </cell>
          <cell r="AS114">
            <v>0</v>
          </cell>
          <cell r="AT114">
            <v>0</v>
          </cell>
          <cell r="AU114">
            <v>0</v>
          </cell>
          <cell r="AV114">
            <v>1</v>
          </cell>
          <cell r="AW114">
            <v>0</v>
          </cell>
          <cell r="AX114">
            <v>0</v>
          </cell>
          <cell r="BY114" t="str">
            <v>3 bandesREGIONAL 2</v>
          </cell>
          <cell r="BZ114" t="str">
            <v>3 bandes</v>
          </cell>
          <cell r="CA114">
            <v>31</v>
          </cell>
          <cell r="CB114" t="str">
            <v>REGIONAL 2</v>
          </cell>
          <cell r="CC114">
            <v>15</v>
          </cell>
          <cell r="CD114">
            <v>60</v>
          </cell>
        </row>
        <row r="117">
          <cell r="AO117">
            <v>0</v>
          </cell>
          <cell r="AP117">
            <v>0</v>
          </cell>
          <cell r="AQ117">
            <v>0</v>
          </cell>
          <cell r="AR117">
            <v>0</v>
          </cell>
          <cell r="AS117">
            <v>0</v>
          </cell>
          <cell r="AT117">
            <v>0</v>
          </cell>
          <cell r="AU117">
            <v>0</v>
          </cell>
          <cell r="AV117">
            <v>1</v>
          </cell>
          <cell r="AW117">
            <v>0</v>
          </cell>
          <cell r="AX117">
            <v>0</v>
          </cell>
        </row>
        <row r="118">
          <cell r="AO118">
            <v>0</v>
          </cell>
          <cell r="AP118">
            <v>0</v>
          </cell>
          <cell r="AQ118">
            <v>0</v>
          </cell>
          <cell r="AR118">
            <v>0</v>
          </cell>
          <cell r="AS118">
            <v>0</v>
          </cell>
          <cell r="AT118">
            <v>0</v>
          </cell>
          <cell r="AU118">
            <v>0</v>
          </cell>
          <cell r="AV118">
            <v>1</v>
          </cell>
          <cell r="AW118">
            <v>0</v>
          </cell>
          <cell r="AX118">
            <v>0</v>
          </cell>
        </row>
        <row r="121">
          <cell r="AO121">
            <v>0</v>
          </cell>
          <cell r="AP121">
            <v>0</v>
          </cell>
          <cell r="AQ121">
            <v>0</v>
          </cell>
          <cell r="AR121">
            <v>0</v>
          </cell>
          <cell r="AS121">
            <v>0</v>
          </cell>
          <cell r="AT121">
            <v>0</v>
          </cell>
          <cell r="AU121">
            <v>0</v>
          </cell>
          <cell r="AV121">
            <v>1</v>
          </cell>
          <cell r="AW121">
            <v>0</v>
          </cell>
          <cell r="AX121">
            <v>0</v>
          </cell>
        </row>
        <row r="122">
          <cell r="AO122">
            <v>0</v>
          </cell>
          <cell r="AP122">
            <v>0</v>
          </cell>
          <cell r="AQ122">
            <v>0</v>
          </cell>
          <cell r="AR122">
            <v>0</v>
          </cell>
          <cell r="AS122">
            <v>0</v>
          </cell>
          <cell r="AT122">
            <v>0</v>
          </cell>
          <cell r="AU122">
            <v>0</v>
          </cell>
          <cell r="AV122">
            <v>1</v>
          </cell>
          <cell r="AW122">
            <v>0</v>
          </cell>
          <cell r="AX122">
            <v>0</v>
          </cell>
        </row>
        <row r="125">
          <cell r="AO125">
            <v>0</v>
          </cell>
          <cell r="AP125">
            <v>0</v>
          </cell>
          <cell r="AQ125">
            <v>0</v>
          </cell>
          <cell r="AR125">
            <v>0</v>
          </cell>
          <cell r="AS125">
            <v>0</v>
          </cell>
          <cell r="AT125">
            <v>0</v>
          </cell>
          <cell r="AU125">
            <v>0</v>
          </cell>
          <cell r="AV125">
            <v>1</v>
          </cell>
          <cell r="AW125">
            <v>0</v>
          </cell>
          <cell r="AX125">
            <v>0</v>
          </cell>
        </row>
        <row r="126">
          <cell r="AO126">
            <v>0</v>
          </cell>
          <cell r="AP126">
            <v>0</v>
          </cell>
          <cell r="AQ126">
            <v>0</v>
          </cell>
          <cell r="AR126">
            <v>0</v>
          </cell>
          <cell r="AS126">
            <v>0</v>
          </cell>
          <cell r="AT126">
            <v>0</v>
          </cell>
          <cell r="AU126">
            <v>0</v>
          </cell>
          <cell r="AV126">
            <v>1</v>
          </cell>
          <cell r="AW126">
            <v>0</v>
          </cell>
          <cell r="AX126">
            <v>0</v>
          </cell>
        </row>
        <row r="148">
          <cell r="BY148" t="str">
            <v>A</v>
          </cell>
          <cell r="BZ148">
            <v>0</v>
          </cell>
          <cell r="CA148" t="e">
            <v>#N/A</v>
          </cell>
          <cell r="CB148">
            <v>1</v>
          </cell>
          <cell r="CC148" t="e">
            <v>#N/A</v>
          </cell>
          <cell r="CD148" t="e">
            <v>#N/A</v>
          </cell>
          <cell r="CE148" t="e">
            <v>#N/A</v>
          </cell>
          <cell r="CF148" t="e">
            <v>#N/A</v>
          </cell>
          <cell r="CG148" t="e">
            <v>#N/A</v>
          </cell>
          <cell r="CH148" t="e">
            <v>#N/A</v>
          </cell>
          <cell r="CI148" t="e">
            <v>#N/A</v>
          </cell>
        </row>
        <row r="149">
          <cell r="BY149" t="str">
            <v>B</v>
          </cell>
          <cell r="BZ149">
            <v>0</v>
          </cell>
          <cell r="CA149" t="e">
            <v>#N/A</v>
          </cell>
          <cell r="CB149">
            <v>2</v>
          </cell>
          <cell r="CC149" t="e">
            <v>#N/A</v>
          </cell>
          <cell r="CD149" t="e">
            <v>#N/A</v>
          </cell>
          <cell r="CE149" t="e">
            <v>#N/A</v>
          </cell>
          <cell r="CF149" t="e">
            <v>#N/A</v>
          </cell>
          <cell r="CG149" t="e">
            <v>#N/A</v>
          </cell>
          <cell r="CH149" t="e">
            <v>#N/A</v>
          </cell>
          <cell r="CI149" t="e">
            <v>#N/A</v>
          </cell>
        </row>
        <row r="150">
          <cell r="BY150" t="str">
            <v>C</v>
          </cell>
          <cell r="BZ150">
            <v>0</v>
          </cell>
          <cell r="CA150" t="e">
            <v>#N/A</v>
          </cell>
          <cell r="CB150">
            <v>3</v>
          </cell>
          <cell r="CC150" t="e">
            <v>#N/A</v>
          </cell>
          <cell r="CD150" t="e">
            <v>#N/A</v>
          </cell>
          <cell r="CE150" t="e">
            <v>#N/A</v>
          </cell>
          <cell r="CF150" t="e">
            <v>#N/A</v>
          </cell>
          <cell r="CG150" t="e">
            <v>#N/A</v>
          </cell>
          <cell r="CH150" t="e">
            <v>#N/A</v>
          </cell>
          <cell r="CI150" t="e">
            <v>#N/A</v>
          </cell>
        </row>
        <row r="151">
          <cell r="AO151">
            <v>0</v>
          </cell>
          <cell r="AP151">
            <v>0</v>
          </cell>
          <cell r="AQ151">
            <v>0</v>
          </cell>
          <cell r="AR151">
            <v>0</v>
          </cell>
          <cell r="AS151">
            <v>0</v>
          </cell>
          <cell r="AT151">
            <v>0</v>
          </cell>
          <cell r="AU151">
            <v>0</v>
          </cell>
          <cell r="AV151" t="e">
            <v>#VALUE!</v>
          </cell>
          <cell r="AW151">
            <v>2.9999999999999997E-8</v>
          </cell>
          <cell r="AX151" t="e">
            <v>#VALUE!</v>
          </cell>
          <cell r="AY151" t="e">
            <v>#N/A</v>
          </cell>
          <cell r="AZ151" t="e">
            <v>#VALUE!</v>
          </cell>
          <cell r="BY151" t="str">
            <v>D</v>
          </cell>
          <cell r="BZ151">
            <v>0</v>
          </cell>
          <cell r="CA151" t="e">
            <v>#N/A</v>
          </cell>
          <cell r="CB151">
            <v>4</v>
          </cell>
          <cell r="CC151" t="e">
            <v>#N/A</v>
          </cell>
          <cell r="CD151" t="e">
            <v>#N/A</v>
          </cell>
          <cell r="CE151" t="e">
            <v>#N/A</v>
          </cell>
          <cell r="CF151" t="e">
            <v>#N/A</v>
          </cell>
          <cell r="CG151" t="e">
            <v>#N/A</v>
          </cell>
          <cell r="CH151" t="e">
            <v>#N/A</v>
          </cell>
          <cell r="CI151" t="e">
            <v>#N/A</v>
          </cell>
        </row>
        <row r="152">
          <cell r="AO152">
            <v>0</v>
          </cell>
          <cell r="AP152">
            <v>0</v>
          </cell>
          <cell r="AQ152">
            <v>0</v>
          </cell>
          <cell r="AR152">
            <v>0</v>
          </cell>
          <cell r="AS152">
            <v>0</v>
          </cell>
          <cell r="AT152">
            <v>0</v>
          </cell>
          <cell r="AU152">
            <v>0</v>
          </cell>
          <cell r="AV152">
            <v>0</v>
          </cell>
          <cell r="AW152">
            <v>2.4999999999999999E-8</v>
          </cell>
          <cell r="AX152" t="e">
            <v>#N/A</v>
          </cell>
          <cell r="AY152" t="e">
            <v>#N/A</v>
          </cell>
          <cell r="AZ152">
            <v>0</v>
          </cell>
          <cell r="BY152" t="str">
            <v>E</v>
          </cell>
          <cell r="BZ152">
            <v>0</v>
          </cell>
          <cell r="CA152" t="e">
            <v>#N/A</v>
          </cell>
          <cell r="CB152">
            <v>5</v>
          </cell>
          <cell r="CC152" t="e">
            <v>#N/A</v>
          </cell>
          <cell r="CD152" t="e">
            <v>#N/A</v>
          </cell>
          <cell r="CE152" t="e">
            <v>#N/A</v>
          </cell>
          <cell r="CF152" t="e">
            <v>#N/A</v>
          </cell>
          <cell r="CG152" t="e">
            <v>#N/A</v>
          </cell>
          <cell r="CH152" t="e">
            <v>#N/A</v>
          </cell>
          <cell r="CI152" t="e">
            <v>#N/A</v>
          </cell>
        </row>
        <row r="153">
          <cell r="AO153">
            <v>0</v>
          </cell>
          <cell r="AP153">
            <v>0</v>
          </cell>
          <cell r="AQ153">
            <v>0</v>
          </cell>
          <cell r="AR153">
            <v>0</v>
          </cell>
          <cell r="AS153">
            <v>0</v>
          </cell>
          <cell r="AT153">
            <v>0</v>
          </cell>
          <cell r="AU153">
            <v>0</v>
          </cell>
          <cell r="AV153">
            <v>0</v>
          </cell>
          <cell r="AW153">
            <v>2E-8</v>
          </cell>
          <cell r="AX153" t="e">
            <v>#N/A</v>
          </cell>
          <cell r="AY153" t="e">
            <v>#N/A</v>
          </cell>
          <cell r="AZ153">
            <v>0</v>
          </cell>
          <cell r="BY153" t="str">
            <v>F</v>
          </cell>
          <cell r="BZ153">
            <v>0</v>
          </cell>
          <cell r="CA153" t="e">
            <v>#N/A</v>
          </cell>
          <cell r="CB153">
            <v>6</v>
          </cell>
          <cell r="CC153" t="e">
            <v>#N/A</v>
          </cell>
          <cell r="CD153" t="e">
            <v>#N/A</v>
          </cell>
          <cell r="CE153" t="e">
            <v>#N/A</v>
          </cell>
          <cell r="CF153" t="e">
            <v>#N/A</v>
          </cell>
          <cell r="CG153" t="e">
            <v>#N/A</v>
          </cell>
          <cell r="CH153" t="e">
            <v>#N/A</v>
          </cell>
          <cell r="CI153" t="e">
            <v>#N/A</v>
          </cell>
        </row>
        <row r="154">
          <cell r="AO154">
            <v>0</v>
          </cell>
          <cell r="AP154">
            <v>0</v>
          </cell>
          <cell r="AQ154">
            <v>0</v>
          </cell>
          <cell r="AR154">
            <v>0</v>
          </cell>
          <cell r="AS154">
            <v>0</v>
          </cell>
          <cell r="AT154">
            <v>0</v>
          </cell>
          <cell r="AU154">
            <v>0</v>
          </cell>
          <cell r="AV154">
            <v>0</v>
          </cell>
          <cell r="AW154">
            <v>1.4999999999999999E-8</v>
          </cell>
          <cell r="AX154" t="e">
            <v>#N/A</v>
          </cell>
          <cell r="AY154" t="e">
            <v>#N/A</v>
          </cell>
          <cell r="AZ154">
            <v>0</v>
          </cell>
          <cell r="CC154">
            <v>0</v>
          </cell>
          <cell r="CD154">
            <v>0</v>
          </cell>
        </row>
        <row r="155">
          <cell r="AO155">
            <v>0</v>
          </cell>
          <cell r="AP155">
            <v>0</v>
          </cell>
          <cell r="AQ155">
            <v>0</v>
          </cell>
          <cell r="AR155">
            <v>0</v>
          </cell>
          <cell r="AS155">
            <v>0</v>
          </cell>
          <cell r="AT155">
            <v>0</v>
          </cell>
          <cell r="AU155">
            <v>0</v>
          </cell>
          <cell r="AV155">
            <v>0</v>
          </cell>
          <cell r="AW155">
            <v>1E-8</v>
          </cell>
          <cell r="AX155" t="e">
            <v>#N/A</v>
          </cell>
          <cell r="AY155" t="e">
            <v>#N/A</v>
          </cell>
          <cell r="AZ155">
            <v>0</v>
          </cell>
          <cell r="CD155" t="str">
            <v>Nom</v>
          </cell>
          <cell r="CE155" t="str">
            <v xml:space="preserve">points </v>
          </cell>
          <cell r="CF155" t="str">
            <v>Reprise</v>
          </cell>
          <cell r="CG155" t="str">
            <v>serie</v>
          </cell>
          <cell r="CH155" t="str">
            <v>Moyenne</v>
          </cell>
          <cell r="CI155" t="str">
            <v>Particuliere</v>
          </cell>
        </row>
        <row r="156">
          <cell r="AO156">
            <v>0</v>
          </cell>
          <cell r="AP156">
            <v>0</v>
          </cell>
          <cell r="AQ156">
            <v>0</v>
          </cell>
          <cell r="AR156">
            <v>0</v>
          </cell>
          <cell r="AS156">
            <v>0</v>
          </cell>
          <cell r="AT156">
            <v>0</v>
          </cell>
          <cell r="AU156">
            <v>0</v>
          </cell>
          <cell r="AV156">
            <v>0</v>
          </cell>
          <cell r="AW156">
            <v>5.0000000000000001E-9</v>
          </cell>
          <cell r="AX156" t="e">
            <v>#N/A</v>
          </cell>
          <cell r="AY156" t="e">
            <v>#N/A</v>
          </cell>
          <cell r="AZ156">
            <v>0</v>
          </cell>
          <cell r="BY156" t="str">
            <v>G</v>
          </cell>
          <cell r="CB156">
            <v>1</v>
          </cell>
          <cell r="CC156" t="e">
            <v>#N/A</v>
          </cell>
          <cell r="CD156" t="e">
            <v>#N/A</v>
          </cell>
          <cell r="CE156" t="e">
            <v>#N/A</v>
          </cell>
          <cell r="CF156" t="e">
            <v>#N/A</v>
          </cell>
          <cell r="CG156" t="e">
            <v>#N/A</v>
          </cell>
          <cell r="CH156" t="e">
            <v>#N/A</v>
          </cell>
          <cell r="CI156" t="e">
            <v>#N/A</v>
          </cell>
          <cell r="CJ156" t="e">
            <v>#N/A</v>
          </cell>
        </row>
        <row r="157">
          <cell r="BY157" t="str">
            <v>H</v>
          </cell>
          <cell r="CB157">
            <v>2</v>
          </cell>
          <cell r="CC157" t="e">
            <v>#N/A</v>
          </cell>
          <cell r="CD157" t="e">
            <v>#N/A</v>
          </cell>
          <cell r="CE157" t="e">
            <v>#N/A</v>
          </cell>
          <cell r="CF157" t="e">
            <v>#N/A</v>
          </cell>
          <cell r="CG157" t="e">
            <v>#N/A</v>
          </cell>
          <cell r="CH157" t="e">
            <v>#N/A</v>
          </cell>
          <cell r="CI157" t="e">
            <v>#N/A</v>
          </cell>
          <cell r="CJ157" t="e">
            <v>#N/A</v>
          </cell>
        </row>
        <row r="158">
          <cell r="BY158" t="str">
            <v>I</v>
          </cell>
          <cell r="CB158">
            <v>3</v>
          </cell>
          <cell r="CC158" t="e">
            <v>#N/A</v>
          </cell>
          <cell r="CD158" t="e">
            <v>#N/A</v>
          </cell>
          <cell r="CE158" t="e">
            <v>#N/A</v>
          </cell>
          <cell r="CF158" t="e">
            <v>#N/A</v>
          </cell>
          <cell r="CG158" t="e">
            <v>#N/A</v>
          </cell>
          <cell r="CH158" t="e">
            <v>#N/A</v>
          </cell>
          <cell r="CI158" t="e">
            <v>#N/A</v>
          </cell>
          <cell r="CJ158" t="e">
            <v>#N/A</v>
          </cell>
        </row>
        <row r="159">
          <cell r="BY159" t="str">
            <v>J</v>
          </cell>
          <cell r="CB159">
            <v>4</v>
          </cell>
          <cell r="CC159" t="e">
            <v>#N/A</v>
          </cell>
          <cell r="CD159" t="e">
            <v>#N/A</v>
          </cell>
          <cell r="CE159" t="e">
            <v>#N/A</v>
          </cell>
          <cell r="CF159" t="e">
            <v>#N/A</v>
          </cell>
          <cell r="CG159" t="e">
            <v>#N/A</v>
          </cell>
          <cell r="CH159" t="e">
            <v>#N/A</v>
          </cell>
          <cell r="CI159" t="e">
            <v>#N/A</v>
          </cell>
          <cell r="CJ159" t="e">
            <v>#N/A</v>
          </cell>
        </row>
        <row r="160">
          <cell r="BY160" t="str">
            <v>K</v>
          </cell>
          <cell r="CB160">
            <v>5</v>
          </cell>
          <cell r="CC160" t="e">
            <v>#N/A</v>
          </cell>
          <cell r="CD160" t="e">
            <v>#N/A</v>
          </cell>
          <cell r="CE160" t="e">
            <v>#N/A</v>
          </cell>
          <cell r="CF160" t="e">
            <v>#N/A</v>
          </cell>
          <cell r="CG160" t="e">
            <v>#N/A</v>
          </cell>
          <cell r="CH160" t="e">
            <v>#N/A</v>
          </cell>
          <cell r="CI160" t="e">
            <v>#N/A</v>
          </cell>
          <cell r="CJ160" t="e">
            <v>#N/A</v>
          </cell>
        </row>
        <row r="161">
          <cell r="BY161" t="str">
            <v>L</v>
          </cell>
          <cell r="CB161">
            <v>6</v>
          </cell>
          <cell r="CC161" t="e">
            <v>#N/A</v>
          </cell>
          <cell r="CD161" t="e">
            <v>#N/A</v>
          </cell>
          <cell r="CE161" t="e">
            <v>#N/A</v>
          </cell>
          <cell r="CF161" t="e">
            <v>#N/A</v>
          </cell>
          <cell r="CG161" t="e">
            <v>#N/A</v>
          </cell>
          <cell r="CH161" t="e">
            <v>#N/A</v>
          </cell>
          <cell r="CI161" t="e">
            <v>#N/A</v>
          </cell>
          <cell r="CJ161" t="e">
            <v>#N/A</v>
          </cell>
        </row>
        <row r="164">
          <cell r="CC164">
            <v>0</v>
          </cell>
          <cell r="CD164">
            <v>0</v>
          </cell>
          <cell r="CE164" t="str">
            <v>P M</v>
          </cell>
          <cell r="CF164" t="str">
            <v xml:space="preserve">points </v>
          </cell>
          <cell r="CG164" t="str">
            <v>Reprise</v>
          </cell>
          <cell r="CH164" t="str">
            <v>serie</v>
          </cell>
          <cell r="CJ164" t="str">
            <v>mp</v>
          </cell>
        </row>
        <row r="165">
          <cell r="BY165">
            <v>0</v>
          </cell>
          <cell r="BZ165">
            <v>0</v>
          </cell>
          <cell r="CA165" t="str">
            <v>0</v>
          </cell>
          <cell r="CB165">
            <v>0</v>
          </cell>
          <cell r="CC165">
            <v>0</v>
          </cell>
          <cell r="CE165" t="e">
            <v>#VALUE!</v>
          </cell>
          <cell r="CF165">
            <v>0</v>
          </cell>
          <cell r="CG165">
            <v>0</v>
          </cell>
          <cell r="CH165">
            <v>0</v>
          </cell>
          <cell r="CI165">
            <v>0</v>
          </cell>
          <cell r="CJ165">
            <v>0</v>
          </cell>
          <cell r="CK165">
            <v>0</v>
          </cell>
          <cell r="CL165">
            <v>0</v>
          </cell>
        </row>
        <row r="166">
          <cell r="BY166">
            <v>0</v>
          </cell>
          <cell r="BZ166">
            <v>0</v>
          </cell>
          <cell r="CA166" t="str">
            <v>0</v>
          </cell>
          <cell r="CB166">
            <v>0</v>
          </cell>
          <cell r="CC166">
            <v>0</v>
          </cell>
          <cell r="CE166" t="e">
            <v>#VALUE!</v>
          </cell>
          <cell r="CF166">
            <v>0</v>
          </cell>
          <cell r="CG166">
            <v>0</v>
          </cell>
          <cell r="CH166">
            <v>0</v>
          </cell>
          <cell r="CI166">
            <v>0</v>
          </cell>
          <cell r="CJ166">
            <v>0</v>
          </cell>
          <cell r="CK166">
            <v>0</v>
          </cell>
          <cell r="CL166">
            <v>0</v>
          </cell>
        </row>
        <row r="167">
          <cell r="BY167">
            <v>0</v>
          </cell>
          <cell r="BZ167">
            <v>0</v>
          </cell>
          <cell r="CA167" t="e">
            <v>#N/A</v>
          </cell>
          <cell r="CB167" t="e">
            <v>#N/A</v>
          </cell>
          <cell r="CC167" t="e">
            <v>#N/A</v>
          </cell>
          <cell r="CE167" t="e">
            <v>#N/A</v>
          </cell>
          <cell r="CF167" t="e">
            <v>#N/A</v>
          </cell>
          <cell r="CG167" t="e">
            <v>#N/A</v>
          </cell>
          <cell r="CH167" t="e">
            <v>#N/A</v>
          </cell>
          <cell r="CI167" t="e">
            <v>#N/A</v>
          </cell>
          <cell r="CJ167" t="e">
            <v>#N/A</v>
          </cell>
          <cell r="CK167" t="e">
            <v>#N/A</v>
          </cell>
          <cell r="CL167" t="e">
            <v>#N/A</v>
          </cell>
        </row>
        <row r="168">
          <cell r="BY168">
            <v>0</v>
          </cell>
          <cell r="BZ168">
            <v>0</v>
          </cell>
          <cell r="CA168" t="e">
            <v>#N/A</v>
          </cell>
          <cell r="CB168" t="e">
            <v>#N/A</v>
          </cell>
          <cell r="CC168" t="e">
            <v>#N/A</v>
          </cell>
          <cell r="CE168" t="e">
            <v>#N/A</v>
          </cell>
          <cell r="CF168" t="e">
            <v>#N/A</v>
          </cell>
          <cell r="CG168" t="e">
            <v>#N/A</v>
          </cell>
          <cell r="CH168" t="e">
            <v>#N/A</v>
          </cell>
          <cell r="CI168" t="e">
            <v>#N/A</v>
          </cell>
          <cell r="CJ168" t="e">
            <v>#N/A</v>
          </cell>
          <cell r="CK168" t="e">
            <v>#N/A</v>
          </cell>
          <cell r="CL168" t="e">
            <v>#N/A</v>
          </cell>
        </row>
        <row r="169">
          <cell r="BY169">
            <v>0</v>
          </cell>
          <cell r="BZ169">
            <v>0</v>
          </cell>
          <cell r="CA169" t="e">
            <v>#N/A</v>
          </cell>
          <cell r="CB169" t="e">
            <v>#N/A</v>
          </cell>
          <cell r="CC169" t="e">
            <v>#N/A</v>
          </cell>
          <cell r="CE169" t="e">
            <v>#N/A</v>
          </cell>
          <cell r="CF169" t="e">
            <v>#N/A</v>
          </cell>
          <cell r="CG169" t="e">
            <v>#N/A</v>
          </cell>
          <cell r="CH169" t="e">
            <v>#N/A</v>
          </cell>
          <cell r="CI169" t="e">
            <v>#N/A</v>
          </cell>
          <cell r="CJ169" t="e">
            <v>#N/A</v>
          </cell>
          <cell r="CK169" t="e">
            <v>#N/A</v>
          </cell>
          <cell r="CL169" t="e">
            <v>#N/A</v>
          </cell>
        </row>
        <row r="170">
          <cell r="BY170">
            <v>0</v>
          </cell>
          <cell r="BZ170">
            <v>0</v>
          </cell>
          <cell r="CA170" t="e">
            <v>#N/A</v>
          </cell>
          <cell r="CB170" t="e">
            <v>#N/A</v>
          </cell>
          <cell r="CC170" t="e">
            <v>#N/A</v>
          </cell>
          <cell r="CE170" t="e">
            <v>#N/A</v>
          </cell>
          <cell r="CF170" t="e">
            <v>#N/A</v>
          </cell>
          <cell r="CG170" t="e">
            <v>#N/A</v>
          </cell>
          <cell r="CH170" t="e">
            <v>#N/A</v>
          </cell>
          <cell r="CI170" t="e">
            <v>#N/A</v>
          </cell>
          <cell r="CJ170" t="e">
            <v>#N/A</v>
          </cell>
          <cell r="CK170" t="e">
            <v>#N/A</v>
          </cell>
          <cell r="CL170" t="e">
            <v>#N/A</v>
          </cell>
        </row>
        <row r="193">
          <cell r="AR193" t="str">
            <v>2 joueurs eliminatoire</v>
          </cell>
          <cell r="AS193" t="str">
            <v>2 joueurs Finale</v>
          </cell>
          <cell r="AT193" t="e">
            <v>#REF!</v>
          </cell>
          <cell r="AU193" t="str">
            <v>3 joueurs Finale directe</v>
          </cell>
          <cell r="AV193" t="str">
            <v>3 joueurs Finale</v>
          </cell>
          <cell r="AW193" t="str">
            <v>3 joueurs eliminatoire 2 poules</v>
          </cell>
          <cell r="AX193" t="str">
            <v>4 joueurs demi finale</v>
          </cell>
          <cell r="AY193" t="str">
            <v>4 joueurs Eliminatoire</v>
          </cell>
          <cell r="AZ193" t="str">
            <v>4 joueurs finale</v>
          </cell>
          <cell r="BA193" t="str">
            <v>5 joueurs eliminatoire</v>
          </cell>
          <cell r="BB193" t="str">
            <v>5 joueurs finale</v>
          </cell>
          <cell r="BC193" t="str">
            <v>6 joueurs eliminatoire</v>
          </cell>
          <cell r="BD193" t="str">
            <v xml:space="preserve">6 joueurs finale </v>
          </cell>
          <cell r="BE193" t="str">
            <v>6 joueurs finale 2 poules</v>
          </cell>
        </row>
        <row r="194">
          <cell r="AR194" t="str">
            <v>A</v>
          </cell>
          <cell r="AS194" t="str">
            <v>A</v>
          </cell>
          <cell r="AT194" t="str">
            <v>A</v>
          </cell>
          <cell r="AU194" t="str">
            <v>A</v>
          </cell>
          <cell r="AV194" t="str">
            <v>A</v>
          </cell>
          <cell r="AW194" t="str">
            <v>A</v>
          </cell>
          <cell r="AX194" t="str">
            <v>A</v>
          </cell>
          <cell r="AY194" t="str">
            <v>A</v>
          </cell>
          <cell r="AZ194" t="str">
            <v>A</v>
          </cell>
          <cell r="BA194" t="str">
            <v>A</v>
          </cell>
          <cell r="BB194" t="str">
            <v>A</v>
          </cell>
          <cell r="BC194" t="str">
            <v>A</v>
          </cell>
          <cell r="BD194" t="str">
            <v>G</v>
          </cell>
          <cell r="BE194" t="str">
            <v>G</v>
          </cell>
        </row>
        <row r="195">
          <cell r="AR195" t="str">
            <v>B</v>
          </cell>
          <cell r="AS195" t="str">
            <v>B</v>
          </cell>
          <cell r="AT195" t="str">
            <v>B</v>
          </cell>
          <cell r="AU195" t="str">
            <v>B</v>
          </cell>
          <cell r="AV195" t="str">
            <v>B</v>
          </cell>
          <cell r="AW195" t="str">
            <v>B</v>
          </cell>
          <cell r="AX195" t="str">
            <v>B</v>
          </cell>
          <cell r="AY195" t="str">
            <v>B</v>
          </cell>
          <cell r="AZ195" t="str">
            <v>B</v>
          </cell>
          <cell r="BA195" t="str">
            <v>B</v>
          </cell>
          <cell r="BB195" t="str">
            <v>B</v>
          </cell>
          <cell r="BC195" t="str">
            <v>B</v>
          </cell>
          <cell r="BD195" t="str">
            <v>H</v>
          </cell>
          <cell r="BE195" t="str">
            <v>H</v>
          </cell>
        </row>
        <row r="196">
          <cell r="AR196" t="str">
            <v>-</v>
          </cell>
          <cell r="AS196" t="str">
            <v>@</v>
          </cell>
          <cell r="AT196" t="str">
            <v>C</v>
          </cell>
          <cell r="AU196" t="str">
            <v>C</v>
          </cell>
          <cell r="AV196" t="str">
            <v>C</v>
          </cell>
          <cell r="AW196" t="str">
            <v>C</v>
          </cell>
          <cell r="AX196" t="str">
            <v>C</v>
          </cell>
          <cell r="AY196" t="str">
            <v>C</v>
          </cell>
          <cell r="AZ196" t="str">
            <v>C</v>
          </cell>
          <cell r="BA196" t="str">
            <v>C</v>
          </cell>
          <cell r="BB196" t="str">
            <v>C</v>
          </cell>
          <cell r="BC196" t="str">
            <v>C</v>
          </cell>
          <cell r="BD196" t="str">
            <v>I</v>
          </cell>
          <cell r="BE196" t="str">
            <v>I</v>
          </cell>
        </row>
        <row r="197">
          <cell r="AR197" t="str">
            <v>-</v>
          </cell>
          <cell r="AS197" t="str">
            <v>@</v>
          </cell>
          <cell r="AT197" t="str">
            <v>-</v>
          </cell>
          <cell r="AU197" t="str">
            <v>-</v>
          </cell>
          <cell r="AV197" t="str">
            <v>-</v>
          </cell>
          <cell r="AW197" t="str">
            <v>D</v>
          </cell>
          <cell r="AX197" t="str">
            <v>D</v>
          </cell>
          <cell r="AY197" t="str">
            <v>D</v>
          </cell>
          <cell r="AZ197" t="str">
            <v>D</v>
          </cell>
          <cell r="BA197" t="str">
            <v>D</v>
          </cell>
          <cell r="BB197" t="str">
            <v>D</v>
          </cell>
          <cell r="BC197" t="str">
            <v>D</v>
          </cell>
          <cell r="BD197" t="str">
            <v>J</v>
          </cell>
          <cell r="BE197" t="str">
            <v>J</v>
          </cell>
        </row>
        <row r="198">
          <cell r="AR198" t="str">
            <v>-</v>
          </cell>
          <cell r="AS198" t="str">
            <v>@</v>
          </cell>
          <cell r="AT198" t="str">
            <v>-</v>
          </cell>
          <cell r="AU198" t="str">
            <v>-</v>
          </cell>
          <cell r="AV198" t="str">
            <v>-</v>
          </cell>
          <cell r="AW198" t="str">
            <v>E</v>
          </cell>
          <cell r="AY198" t="str">
            <v>-</v>
          </cell>
          <cell r="BA198" t="str">
            <v>E</v>
          </cell>
          <cell r="BB198" t="str">
            <v>E</v>
          </cell>
          <cell r="BC198" t="str">
            <v>E</v>
          </cell>
          <cell r="BD198" t="str">
            <v>K</v>
          </cell>
          <cell r="BE198" t="str">
            <v>K</v>
          </cell>
        </row>
        <row r="199">
          <cell r="AR199" t="str">
            <v>-</v>
          </cell>
          <cell r="AS199" t="str">
            <v>@</v>
          </cell>
          <cell r="AT199" t="str">
            <v>-</v>
          </cell>
          <cell r="AU199" t="str">
            <v>-</v>
          </cell>
          <cell r="AV199" t="str">
            <v>-</v>
          </cell>
          <cell r="AW199" t="str">
            <v>F</v>
          </cell>
          <cell r="AY199" t="str">
            <v>-</v>
          </cell>
          <cell r="BA199" t="str">
            <v>-</v>
          </cell>
          <cell r="BB199" t="str">
            <v>-</v>
          </cell>
          <cell r="BC199" t="str">
            <v>F</v>
          </cell>
          <cell r="BD199" t="str">
            <v>L</v>
          </cell>
          <cell r="BE199" t="str">
            <v>L</v>
          </cell>
        </row>
        <row r="200">
          <cell r="AR200" t="str">
            <v>Tour 1</v>
          </cell>
          <cell r="AS200" t="str">
            <v>Tour 1</v>
          </cell>
          <cell r="AT200" t="str">
            <v>Tour 1</v>
          </cell>
          <cell r="AU200" t="str">
            <v>Tour 1</v>
          </cell>
          <cell r="AV200" t="str">
            <v>Tour 1</v>
          </cell>
          <cell r="AW200" t="str">
            <v>Tour 1</v>
          </cell>
          <cell r="AX200" t="str">
            <v>Tour 1</v>
          </cell>
          <cell r="AY200" t="str">
            <v>Tour 1</v>
          </cell>
          <cell r="AZ200" t="str">
            <v>Tour 1</v>
          </cell>
          <cell r="BA200" t="str">
            <v>Tour 1</v>
          </cell>
          <cell r="BB200" t="str">
            <v>Tour 1</v>
          </cell>
          <cell r="BC200" t="str">
            <v>Tour 1</v>
          </cell>
          <cell r="BD200" t="str">
            <v>Tour 1</v>
          </cell>
          <cell r="BE200" t="str">
            <v>Tour 1</v>
          </cell>
        </row>
        <row r="201">
          <cell r="AR201" t="str">
            <v>Tour 1</v>
          </cell>
          <cell r="AS201" t="str">
            <v>Tour 1</v>
          </cell>
          <cell r="AT201" t="str">
            <v>Tour 1</v>
          </cell>
          <cell r="AU201" t="str">
            <v>Tour 4</v>
          </cell>
          <cell r="AV201" t="str">
            <v>Tour 1</v>
          </cell>
          <cell r="AW201" t="str">
            <v>Tour 1</v>
          </cell>
          <cell r="AX201" t="str">
            <v>Tour 1</v>
          </cell>
          <cell r="AY201" t="str">
            <v>Tour 1</v>
          </cell>
          <cell r="AZ201" t="str">
            <v>Tour 1</v>
          </cell>
          <cell r="BA201" t="str">
            <v>Tour 1</v>
          </cell>
          <cell r="BB201" t="str">
            <v>Tour 1</v>
          </cell>
          <cell r="BC201" t="str">
            <v>Tour 1</v>
          </cell>
          <cell r="BD201" t="str">
            <v>Tour 1</v>
          </cell>
          <cell r="BE201" t="str">
            <v>Tour 1</v>
          </cell>
        </row>
        <row r="202">
          <cell r="AR202" t="str">
            <v>Tour 2</v>
          </cell>
          <cell r="AS202" t="str">
            <v>Tour 2</v>
          </cell>
          <cell r="AT202" t="str">
            <v>Tour 2</v>
          </cell>
          <cell r="AU202" t="str">
            <v>Tour 2</v>
          </cell>
          <cell r="AV202" t="str">
            <v>Tour 2</v>
          </cell>
          <cell r="AW202" t="str">
            <v>Tour 2</v>
          </cell>
          <cell r="AX202" t="str">
            <v>Tour 2</v>
          </cell>
          <cell r="AY202" t="str">
            <v>Tour 2</v>
          </cell>
          <cell r="AZ202" t="str">
            <v>Tour 2</v>
          </cell>
          <cell r="BA202" t="str">
            <v>Tour 2</v>
          </cell>
          <cell r="BB202" t="str">
            <v>Tour 2</v>
          </cell>
          <cell r="BC202" t="str">
            <v>Tour 1</v>
          </cell>
          <cell r="BD202" t="str">
            <v>Tour 2</v>
          </cell>
          <cell r="BE202" t="str">
            <v>Tour 2</v>
          </cell>
        </row>
        <row r="203">
          <cell r="AR203" t="str">
            <v>Tour 2</v>
          </cell>
          <cell r="AS203" t="str">
            <v>Tour 2</v>
          </cell>
          <cell r="AT203" t="str">
            <v>Tour 2</v>
          </cell>
          <cell r="AU203" t="str">
            <v>Tour 5</v>
          </cell>
          <cell r="AV203" t="str">
            <v>Tour 2</v>
          </cell>
          <cell r="AW203" t="str">
            <v>Tour 2</v>
          </cell>
          <cell r="AX203" t="str">
            <v>Tour 2</v>
          </cell>
          <cell r="AY203" t="str">
            <v>Tour 2</v>
          </cell>
          <cell r="AZ203" t="str">
            <v>Tour 2</v>
          </cell>
          <cell r="BA203" t="str">
            <v>Tour 2</v>
          </cell>
          <cell r="BB203" t="str">
            <v>Tour 2</v>
          </cell>
          <cell r="BC203" t="str">
            <v>Tour 2</v>
          </cell>
          <cell r="BD203" t="str">
            <v>Tour 2</v>
          </cell>
          <cell r="BE203" t="str">
            <v>Tour 2</v>
          </cell>
        </row>
        <row r="204">
          <cell r="AR204" t="str">
            <v>-</v>
          </cell>
          <cell r="AS204" t="str">
            <v>Tour 3</v>
          </cell>
          <cell r="AT204" t="str">
            <v>Tour 3</v>
          </cell>
          <cell r="AU204" t="str">
            <v>Tour 3</v>
          </cell>
          <cell r="AV204" t="str">
            <v>Tour 3</v>
          </cell>
          <cell r="AW204" t="str">
            <v>Tour 3</v>
          </cell>
          <cell r="AX204" t="str">
            <v>Tour 3</v>
          </cell>
          <cell r="AY204" t="str">
            <v>-</v>
          </cell>
          <cell r="AZ204" t="str">
            <v>Tour 3</v>
          </cell>
          <cell r="BA204" t="str">
            <v>Tour 3</v>
          </cell>
          <cell r="BB204" t="str">
            <v>Tour 3</v>
          </cell>
          <cell r="BC204" t="str">
            <v>Tour 2</v>
          </cell>
          <cell r="BD204" t="str">
            <v>Tour 3</v>
          </cell>
          <cell r="BE204" t="str">
            <v>Tour 3</v>
          </cell>
        </row>
        <row r="205">
          <cell r="AR205" t="str">
            <v>-</v>
          </cell>
          <cell r="AS205" t="str">
            <v>Tour 3</v>
          </cell>
          <cell r="AT205" t="str">
            <v>Tour 3</v>
          </cell>
          <cell r="AU205" t="str">
            <v>Tour 6</v>
          </cell>
          <cell r="AV205" t="str">
            <v>Tour 3</v>
          </cell>
          <cell r="AW205" t="str">
            <v>Tour 3</v>
          </cell>
          <cell r="AX205" t="str">
            <v>Tour 3</v>
          </cell>
          <cell r="AY205" t="str">
            <v>-</v>
          </cell>
          <cell r="AZ205" t="str">
            <v>Tour 3</v>
          </cell>
          <cell r="BA205" t="str">
            <v>-</v>
          </cell>
          <cell r="BB205" t="str">
            <v>Tour 3</v>
          </cell>
          <cell r="BC205" t="str">
            <v>Tour 2</v>
          </cell>
          <cell r="BD205" t="str">
            <v>Tour 3</v>
          </cell>
          <cell r="BE205" t="str">
            <v>Tour 3</v>
          </cell>
        </row>
        <row r="206">
          <cell r="AR206" t="str">
            <v>-</v>
          </cell>
          <cell r="AS206" t="str">
            <v>-</v>
          </cell>
          <cell r="AT206" t="str">
            <v>-</v>
          </cell>
          <cell r="AU206" t="str">
            <v>-</v>
          </cell>
          <cell r="AV206" t="str">
            <v>-</v>
          </cell>
          <cell r="AW206" t="str">
            <v>-</v>
          </cell>
          <cell r="AX206" t="str">
            <v>-</v>
          </cell>
          <cell r="AY206" t="str">
            <v>-</v>
          </cell>
          <cell r="AZ206" t="str">
            <v>-</v>
          </cell>
          <cell r="BA206" t="str">
            <v>-</v>
          </cell>
          <cell r="BB206" t="str">
            <v>Tour 4</v>
          </cell>
          <cell r="BC206" t="str">
            <v>-</v>
          </cell>
          <cell r="BD206" t="str">
            <v>Finale</v>
          </cell>
          <cell r="BE206" t="str">
            <v>Finale</v>
          </cell>
        </row>
        <row r="207">
          <cell r="AR207" t="str">
            <v>-</v>
          </cell>
          <cell r="AS207" t="str">
            <v>-</v>
          </cell>
          <cell r="AT207" t="str">
            <v>-</v>
          </cell>
          <cell r="AU207" t="str">
            <v>-</v>
          </cell>
          <cell r="AV207" t="str">
            <v>-</v>
          </cell>
          <cell r="AW207" t="str">
            <v>-</v>
          </cell>
          <cell r="AX207" t="str">
            <v>-</v>
          </cell>
          <cell r="AY207" t="str">
            <v>-</v>
          </cell>
          <cell r="AZ207" t="str">
            <v>-</v>
          </cell>
          <cell r="BA207" t="str">
            <v>-</v>
          </cell>
          <cell r="BB207" t="str">
            <v>Tour 4</v>
          </cell>
          <cell r="BC207" t="str">
            <v>-</v>
          </cell>
          <cell r="BD207" t="str">
            <v>-</v>
          </cell>
          <cell r="BE207" t="str">
            <v>-</v>
          </cell>
        </row>
        <row r="208">
          <cell r="AR208" t="str">
            <v>-</v>
          </cell>
          <cell r="AS208" t="str">
            <v>-</v>
          </cell>
          <cell r="AT208" t="str">
            <v>-</v>
          </cell>
          <cell r="AU208" t="str">
            <v>-</v>
          </cell>
          <cell r="AV208" t="str">
            <v>-</v>
          </cell>
          <cell r="AW208" t="str">
            <v>-</v>
          </cell>
          <cell r="AX208" t="str">
            <v>-</v>
          </cell>
          <cell r="AY208" t="str">
            <v>-</v>
          </cell>
          <cell r="AZ208" t="str">
            <v>-</v>
          </cell>
          <cell r="BA208" t="str">
            <v>-</v>
          </cell>
          <cell r="BB208" t="str">
            <v>Tour 5</v>
          </cell>
          <cell r="BC208" t="str">
            <v>-</v>
          </cell>
          <cell r="BD208" t="str">
            <v>-</v>
          </cell>
          <cell r="BE208" t="str">
            <v>Class</v>
          </cell>
        </row>
        <row r="209">
          <cell r="AR209" t="str">
            <v>-</v>
          </cell>
          <cell r="AS209" t="str">
            <v>-</v>
          </cell>
          <cell r="AT209" t="str">
            <v>-</v>
          </cell>
          <cell r="AU209" t="str">
            <v>-</v>
          </cell>
          <cell r="AV209" t="str">
            <v>-</v>
          </cell>
          <cell r="AW209" t="str">
            <v>-</v>
          </cell>
          <cell r="AX209" t="str">
            <v>-</v>
          </cell>
          <cell r="AY209" t="str">
            <v>-</v>
          </cell>
          <cell r="AZ209" t="str">
            <v>-</v>
          </cell>
          <cell r="BA209" t="str">
            <v>-</v>
          </cell>
          <cell r="BB209" t="str">
            <v>Tour 5</v>
          </cell>
          <cell r="BC209" t="str">
            <v>-</v>
          </cell>
          <cell r="BD209" t="str">
            <v>-</v>
          </cell>
          <cell r="BE209" t="str">
            <v>Class</v>
          </cell>
        </row>
        <row r="211">
          <cell r="AR211">
            <v>2</v>
          </cell>
          <cell r="AS211">
            <v>2</v>
          </cell>
          <cell r="AT211">
            <v>3</v>
          </cell>
          <cell r="AU211">
            <v>3</v>
          </cell>
          <cell r="AV211">
            <v>3</v>
          </cell>
          <cell r="AW211">
            <v>3</v>
          </cell>
          <cell r="AX211">
            <v>4</v>
          </cell>
          <cell r="AY211">
            <v>4</v>
          </cell>
          <cell r="AZ211">
            <v>4</v>
          </cell>
          <cell r="BA211">
            <v>5</v>
          </cell>
          <cell r="BB211">
            <v>5</v>
          </cell>
          <cell r="BC211">
            <v>6</v>
          </cell>
          <cell r="BD211">
            <v>6</v>
          </cell>
          <cell r="BE211">
            <v>6</v>
          </cell>
        </row>
        <row r="212">
          <cell r="AR212">
            <v>1</v>
          </cell>
          <cell r="AS212">
            <v>1</v>
          </cell>
          <cell r="AT212">
            <v>2</v>
          </cell>
          <cell r="AU212">
            <v>2</v>
          </cell>
          <cell r="AV212">
            <v>2</v>
          </cell>
          <cell r="AW212">
            <v>2</v>
          </cell>
          <cell r="AX212">
            <v>3</v>
          </cell>
          <cell r="AY212">
            <v>4</v>
          </cell>
          <cell r="AZ212">
            <v>3</v>
          </cell>
          <cell r="BA212">
            <v>4</v>
          </cell>
          <cell r="BB212">
            <v>4</v>
          </cell>
          <cell r="BC212">
            <v>5</v>
          </cell>
          <cell r="BD212">
            <v>5</v>
          </cell>
          <cell r="BE212">
            <v>5</v>
          </cell>
        </row>
        <row r="213">
          <cell r="AR213">
            <v>0</v>
          </cell>
          <cell r="AS213">
            <v>0</v>
          </cell>
          <cell r="AT213">
            <v>1</v>
          </cell>
          <cell r="AU213">
            <v>1</v>
          </cell>
          <cell r="AV213">
            <v>1</v>
          </cell>
          <cell r="AW213">
            <v>1</v>
          </cell>
          <cell r="AX213">
            <v>2</v>
          </cell>
          <cell r="AY213">
            <v>4</v>
          </cell>
          <cell r="AZ213">
            <v>2</v>
          </cell>
          <cell r="BA213">
            <v>3</v>
          </cell>
          <cell r="BB213">
            <v>3</v>
          </cell>
          <cell r="BC213">
            <v>4</v>
          </cell>
          <cell r="BD213">
            <v>4</v>
          </cell>
          <cell r="BE213">
            <v>4</v>
          </cell>
        </row>
        <row r="214">
          <cell r="AR214">
            <v>0</v>
          </cell>
          <cell r="AS214">
            <v>0</v>
          </cell>
          <cell r="AT214">
            <v>0</v>
          </cell>
          <cell r="AU214">
            <v>3</v>
          </cell>
          <cell r="AV214">
            <v>0</v>
          </cell>
          <cell r="AW214">
            <v>3</v>
          </cell>
          <cell r="AX214">
            <v>1</v>
          </cell>
          <cell r="AY214">
            <v>4</v>
          </cell>
          <cell r="AZ214">
            <v>1</v>
          </cell>
          <cell r="BA214">
            <v>2</v>
          </cell>
          <cell r="BB214">
            <v>2</v>
          </cell>
          <cell r="BC214">
            <v>3</v>
          </cell>
          <cell r="BD214">
            <v>3</v>
          </cell>
          <cell r="BE214">
            <v>3</v>
          </cell>
        </row>
        <row r="215">
          <cell r="AR215">
            <v>0</v>
          </cell>
          <cell r="AS215">
            <v>0</v>
          </cell>
          <cell r="AT215">
            <v>0</v>
          </cell>
          <cell r="AU215">
            <v>2</v>
          </cell>
          <cell r="AV215">
            <v>0</v>
          </cell>
          <cell r="AW215">
            <v>2</v>
          </cell>
          <cell r="AX215">
            <v>0</v>
          </cell>
          <cell r="AY215">
            <v>0</v>
          </cell>
          <cell r="AZ215">
            <v>0</v>
          </cell>
          <cell r="BA215">
            <v>1</v>
          </cell>
          <cell r="BB215">
            <v>1</v>
          </cell>
          <cell r="BC215">
            <v>2</v>
          </cell>
          <cell r="BD215">
            <v>2</v>
          </cell>
          <cell r="BE215">
            <v>2</v>
          </cell>
        </row>
        <row r="216">
          <cell r="AR216">
            <v>0</v>
          </cell>
          <cell r="AS216">
            <v>0</v>
          </cell>
          <cell r="AT216">
            <v>0</v>
          </cell>
          <cell r="AU216">
            <v>1</v>
          </cell>
          <cell r="AV216">
            <v>0</v>
          </cell>
          <cell r="AW216">
            <v>1</v>
          </cell>
          <cell r="AX216">
            <v>0</v>
          </cell>
          <cell r="AY216">
            <v>0</v>
          </cell>
          <cell r="AZ216">
            <v>0</v>
          </cell>
          <cell r="BA216">
            <v>0</v>
          </cell>
          <cell r="BB216">
            <v>0</v>
          </cell>
          <cell r="BC216">
            <v>1</v>
          </cell>
          <cell r="BD216">
            <v>1</v>
          </cell>
          <cell r="BE216">
            <v>1</v>
          </cell>
        </row>
        <row r="218">
          <cell r="AR218">
            <v>1</v>
          </cell>
          <cell r="AS218">
            <v>1</v>
          </cell>
          <cell r="AT218">
            <v>2</v>
          </cell>
          <cell r="AU218">
            <v>2</v>
          </cell>
          <cell r="AV218">
            <v>2</v>
          </cell>
          <cell r="AW218">
            <v>2</v>
          </cell>
          <cell r="AX218">
            <v>2</v>
          </cell>
          <cell r="AY218">
            <v>2</v>
          </cell>
          <cell r="AZ218">
            <v>2</v>
          </cell>
          <cell r="BA218">
            <v>2</v>
          </cell>
          <cell r="BB218">
            <v>2</v>
          </cell>
          <cell r="BC218">
            <v>1</v>
          </cell>
          <cell r="BD218">
            <v>2</v>
          </cell>
          <cell r="BE218">
            <v>2</v>
          </cell>
        </row>
        <row r="219">
          <cell r="AR219">
            <v>2</v>
          </cell>
          <cell r="AS219">
            <v>2</v>
          </cell>
          <cell r="AT219">
            <v>3</v>
          </cell>
          <cell r="AU219">
            <v>3</v>
          </cell>
          <cell r="AV219">
            <v>3</v>
          </cell>
          <cell r="AW219">
            <v>3</v>
          </cell>
          <cell r="AX219">
            <v>3</v>
          </cell>
          <cell r="AY219">
            <v>3</v>
          </cell>
          <cell r="AZ219">
            <v>3</v>
          </cell>
          <cell r="BA219">
            <v>5</v>
          </cell>
          <cell r="BB219">
            <v>5</v>
          </cell>
          <cell r="BC219">
            <v>3</v>
          </cell>
          <cell r="BD219">
            <v>3</v>
          </cell>
          <cell r="BE219">
            <v>3</v>
          </cell>
        </row>
        <row r="220">
          <cell r="AR220">
            <v>0</v>
          </cell>
          <cell r="AS220">
            <v>0</v>
          </cell>
          <cell r="AT220">
            <v>0</v>
          </cell>
          <cell r="AU220">
            <v>2</v>
          </cell>
          <cell r="AV220">
            <v>0</v>
          </cell>
          <cell r="AW220">
            <v>5</v>
          </cell>
          <cell r="AX220">
            <v>1</v>
          </cell>
          <cell r="AY220">
            <v>1</v>
          </cell>
          <cell r="AZ220">
            <v>1</v>
          </cell>
          <cell r="BA220">
            <v>3</v>
          </cell>
          <cell r="BB220">
            <v>3</v>
          </cell>
          <cell r="BC220">
            <v>4</v>
          </cell>
          <cell r="BD220">
            <v>5</v>
          </cell>
          <cell r="BE220">
            <v>5</v>
          </cell>
        </row>
        <row r="221">
          <cell r="AR221">
            <v>0</v>
          </cell>
          <cell r="AS221">
            <v>0</v>
          </cell>
          <cell r="AT221">
            <v>0</v>
          </cell>
          <cell r="AU221">
            <v>3</v>
          </cell>
          <cell r="AV221">
            <v>0</v>
          </cell>
          <cell r="AW221">
            <v>6</v>
          </cell>
          <cell r="AX221">
            <v>4</v>
          </cell>
          <cell r="AY221">
            <v>4</v>
          </cell>
          <cell r="AZ221">
            <v>4</v>
          </cell>
          <cell r="BA221">
            <v>4</v>
          </cell>
          <cell r="BB221">
            <v>4</v>
          </cell>
          <cell r="BC221">
            <v>5</v>
          </cell>
          <cell r="BD221">
            <v>6</v>
          </cell>
          <cell r="BE221">
            <v>6</v>
          </cell>
        </row>
        <row r="223">
          <cell r="AR223">
            <v>1</v>
          </cell>
          <cell r="AS223">
            <v>1</v>
          </cell>
          <cell r="AT223">
            <v>1</v>
          </cell>
          <cell r="AU223">
            <v>1</v>
          </cell>
          <cell r="AV223">
            <v>1</v>
          </cell>
          <cell r="AW223">
            <v>1</v>
          </cell>
          <cell r="AX223" t="str">
            <v>v1</v>
          </cell>
          <cell r="AY223">
            <v>1</v>
          </cell>
          <cell r="AZ223" t="str">
            <v>v1</v>
          </cell>
          <cell r="BA223">
            <v>1</v>
          </cell>
          <cell r="BB223">
            <v>1</v>
          </cell>
          <cell r="BC223">
            <v>2</v>
          </cell>
          <cell r="BD223">
            <v>1</v>
          </cell>
          <cell r="BE223">
            <v>1</v>
          </cell>
        </row>
        <row r="224">
          <cell r="AR224">
            <v>2</v>
          </cell>
          <cell r="AS224">
            <v>2</v>
          </cell>
          <cell r="AT224" t="str">
            <v>p1</v>
          </cell>
          <cell r="AU224" t="str">
            <v>p1</v>
          </cell>
          <cell r="AV224" t="str">
            <v>p1</v>
          </cell>
          <cell r="AW224" t="str">
            <v>p1</v>
          </cell>
          <cell r="AX224" t="str">
            <v>v2</v>
          </cell>
          <cell r="AY224">
            <v>2</v>
          </cell>
          <cell r="AZ224" t="str">
            <v>v2</v>
          </cell>
          <cell r="BA224">
            <v>5</v>
          </cell>
          <cell r="BB224">
            <v>5</v>
          </cell>
          <cell r="BC224">
            <v>6</v>
          </cell>
          <cell r="BD224" t="str">
            <v>p1</v>
          </cell>
          <cell r="BE224" t="str">
            <v>p1</v>
          </cell>
        </row>
        <row r="225">
          <cell r="AR225">
            <v>0</v>
          </cell>
          <cell r="AS225">
            <v>0</v>
          </cell>
          <cell r="AT225">
            <v>0</v>
          </cell>
          <cell r="AU225">
            <v>1</v>
          </cell>
          <cell r="AV225">
            <v>0</v>
          </cell>
          <cell r="AW225">
            <v>4</v>
          </cell>
          <cell r="AX225" t="str">
            <v>p1</v>
          </cell>
          <cell r="AY225">
            <v>3</v>
          </cell>
          <cell r="AZ225" t="str">
            <v>p1</v>
          </cell>
          <cell r="BA225">
            <v>2</v>
          </cell>
          <cell r="BB225">
            <v>2</v>
          </cell>
          <cell r="BC225">
            <v>1</v>
          </cell>
          <cell r="BD225">
            <v>4</v>
          </cell>
          <cell r="BE225">
            <v>4</v>
          </cell>
        </row>
        <row r="226">
          <cell r="AR226">
            <v>0</v>
          </cell>
          <cell r="AS226">
            <v>0</v>
          </cell>
          <cell r="AT226">
            <v>0</v>
          </cell>
          <cell r="AU226" t="str">
            <v>p2</v>
          </cell>
          <cell r="AV226">
            <v>0</v>
          </cell>
          <cell r="AW226" t="str">
            <v>p2</v>
          </cell>
          <cell r="AX226" t="str">
            <v>p2</v>
          </cell>
          <cell r="AY226">
            <v>4</v>
          </cell>
          <cell r="AZ226" t="str">
            <v>p2</v>
          </cell>
          <cell r="BA226">
            <v>3</v>
          </cell>
          <cell r="BB226">
            <v>3</v>
          </cell>
          <cell r="BC226">
            <v>5</v>
          </cell>
          <cell r="BD226" t="str">
            <v>p2</v>
          </cell>
          <cell r="BE226" t="str">
            <v>p2</v>
          </cell>
        </row>
        <row r="228">
          <cell r="AR228">
            <v>0</v>
          </cell>
          <cell r="AS228">
            <v>1</v>
          </cell>
          <cell r="AT228">
            <v>1</v>
          </cell>
          <cell r="AU228">
            <v>1</v>
          </cell>
          <cell r="AV228">
            <v>1</v>
          </cell>
          <cell r="AW228">
            <v>1</v>
          </cell>
          <cell r="AX228" t="str">
            <v>v1</v>
          </cell>
          <cell r="AY228">
            <v>0</v>
          </cell>
          <cell r="AZ228" t="str">
            <v>v1</v>
          </cell>
          <cell r="BA228">
            <v>1</v>
          </cell>
          <cell r="BB228">
            <v>1</v>
          </cell>
          <cell r="BC228">
            <v>2</v>
          </cell>
          <cell r="BD228">
            <v>1</v>
          </cell>
          <cell r="BE228">
            <v>1</v>
          </cell>
        </row>
        <row r="229">
          <cell r="AR229">
            <v>0</v>
          </cell>
          <cell r="AS229">
            <v>2</v>
          </cell>
          <cell r="AT229" t="str">
            <v>v1</v>
          </cell>
          <cell r="AU229" t="str">
            <v>v1</v>
          </cell>
          <cell r="AV229" t="str">
            <v>v1</v>
          </cell>
          <cell r="AW229" t="str">
            <v>v1</v>
          </cell>
          <cell r="AX229" t="str">
            <v>p2</v>
          </cell>
          <cell r="AY229">
            <v>0</v>
          </cell>
          <cell r="AZ229" t="str">
            <v>p2</v>
          </cell>
          <cell r="BA229">
            <v>4</v>
          </cell>
          <cell r="BB229">
            <v>4</v>
          </cell>
          <cell r="BC229">
            <v>3</v>
          </cell>
          <cell r="BD229" t="str">
            <v>v1</v>
          </cell>
          <cell r="BE229" t="str">
            <v>v1</v>
          </cell>
        </row>
        <row r="230">
          <cell r="AR230">
            <v>0</v>
          </cell>
          <cell r="AS230">
            <v>0</v>
          </cell>
          <cell r="AT230">
            <v>0</v>
          </cell>
          <cell r="AU230">
            <v>1</v>
          </cell>
          <cell r="AV230">
            <v>0</v>
          </cell>
          <cell r="AW230">
            <v>4</v>
          </cell>
          <cell r="AX230" t="str">
            <v>v2</v>
          </cell>
          <cell r="AY230">
            <v>0</v>
          </cell>
          <cell r="AZ230" t="str">
            <v>v2</v>
          </cell>
          <cell r="BA230">
            <v>0</v>
          </cell>
          <cell r="BB230">
            <v>3</v>
          </cell>
          <cell r="BC230">
            <v>4</v>
          </cell>
          <cell r="BD230">
            <v>4</v>
          </cell>
          <cell r="BE230">
            <v>4</v>
          </cell>
        </row>
        <row r="231">
          <cell r="AR231">
            <v>0</v>
          </cell>
          <cell r="AS231">
            <v>0</v>
          </cell>
          <cell r="AT231">
            <v>0</v>
          </cell>
          <cell r="AU231" t="str">
            <v>v2</v>
          </cell>
          <cell r="AV231">
            <v>0</v>
          </cell>
          <cell r="AW231" t="str">
            <v>v2</v>
          </cell>
          <cell r="AX231" t="str">
            <v>p1</v>
          </cell>
          <cell r="AY231">
            <v>0</v>
          </cell>
          <cell r="AZ231" t="str">
            <v>p1</v>
          </cell>
          <cell r="BA231">
            <v>0</v>
          </cell>
          <cell r="BB231">
            <v>5</v>
          </cell>
          <cell r="BC231">
            <v>6</v>
          </cell>
          <cell r="BD231" t="str">
            <v>v2</v>
          </cell>
          <cell r="BE231" t="str">
            <v>v2</v>
          </cell>
        </row>
        <row r="233">
          <cell r="AR233">
            <v>0</v>
          </cell>
          <cell r="AS233">
            <v>0</v>
          </cell>
          <cell r="AT233">
            <v>0</v>
          </cell>
          <cell r="AU233">
            <v>0</v>
          </cell>
          <cell r="AV233">
            <v>0</v>
          </cell>
          <cell r="AW233">
            <v>0</v>
          </cell>
          <cell r="AX233">
            <v>0</v>
          </cell>
          <cell r="AY233">
            <v>0</v>
          </cell>
          <cell r="AZ233">
            <v>0</v>
          </cell>
          <cell r="BA233">
            <v>0</v>
          </cell>
          <cell r="BB233">
            <v>2</v>
          </cell>
          <cell r="BC233">
            <v>0</v>
          </cell>
          <cell r="BD233" t="str">
            <v>1p1</v>
          </cell>
          <cell r="BE233" t="str">
            <v>1p1</v>
          </cell>
        </row>
        <row r="234">
          <cell r="AR234">
            <v>0</v>
          </cell>
          <cell r="AS234">
            <v>0</v>
          </cell>
          <cell r="AT234">
            <v>0</v>
          </cell>
          <cell r="AU234">
            <v>0</v>
          </cell>
          <cell r="AV234">
            <v>0</v>
          </cell>
          <cell r="AW234">
            <v>0</v>
          </cell>
          <cell r="AX234">
            <v>0</v>
          </cell>
          <cell r="AY234">
            <v>0</v>
          </cell>
          <cell r="AZ234">
            <v>0</v>
          </cell>
          <cell r="BA234">
            <v>0</v>
          </cell>
          <cell r="BB234">
            <v>4</v>
          </cell>
          <cell r="BC234">
            <v>0</v>
          </cell>
          <cell r="BD234" t="str">
            <v>1p2</v>
          </cell>
          <cell r="BE234" t="str">
            <v>1p2</v>
          </cell>
        </row>
        <row r="235">
          <cell r="AR235">
            <v>0</v>
          </cell>
          <cell r="AS235">
            <v>0</v>
          </cell>
          <cell r="AT235">
            <v>0</v>
          </cell>
          <cell r="AU235">
            <v>0</v>
          </cell>
          <cell r="AV235">
            <v>0</v>
          </cell>
          <cell r="AW235">
            <v>0</v>
          </cell>
          <cell r="AX235">
            <v>0</v>
          </cell>
          <cell r="AY235">
            <v>0</v>
          </cell>
          <cell r="AZ235">
            <v>0</v>
          </cell>
          <cell r="BA235">
            <v>0</v>
          </cell>
          <cell r="BB235">
            <v>1</v>
          </cell>
          <cell r="BC235">
            <v>0</v>
          </cell>
          <cell r="BD235">
            <v>0</v>
          </cell>
          <cell r="BE235" t="str">
            <v>-</v>
          </cell>
        </row>
        <row r="236">
          <cell r="AR236">
            <v>0</v>
          </cell>
          <cell r="AS236">
            <v>0</v>
          </cell>
          <cell r="AT236">
            <v>0</v>
          </cell>
          <cell r="AU236">
            <v>0</v>
          </cell>
          <cell r="AV236">
            <v>0</v>
          </cell>
          <cell r="AW236">
            <v>0</v>
          </cell>
          <cell r="AX236">
            <v>0</v>
          </cell>
          <cell r="AY236">
            <v>0</v>
          </cell>
          <cell r="AZ236">
            <v>0</v>
          </cell>
          <cell r="BA236">
            <v>0</v>
          </cell>
          <cell r="BB236">
            <v>3</v>
          </cell>
          <cell r="BC236">
            <v>0</v>
          </cell>
          <cell r="BD236">
            <v>0</v>
          </cell>
          <cell r="BE236" t="str">
            <v>-</v>
          </cell>
        </row>
        <row r="238">
          <cell r="AR238">
            <v>0</v>
          </cell>
          <cell r="AS238">
            <v>0</v>
          </cell>
          <cell r="AT238">
            <v>0</v>
          </cell>
          <cell r="AU238">
            <v>0</v>
          </cell>
          <cell r="AV238">
            <v>0</v>
          </cell>
          <cell r="AW238">
            <v>0</v>
          </cell>
          <cell r="AX238">
            <v>0</v>
          </cell>
          <cell r="AY238">
            <v>0</v>
          </cell>
          <cell r="AZ238">
            <v>0</v>
          </cell>
          <cell r="BA238">
            <v>0</v>
          </cell>
          <cell r="BB238">
            <v>1</v>
          </cell>
          <cell r="BC238">
            <v>0</v>
          </cell>
          <cell r="BD238">
            <v>0</v>
          </cell>
          <cell r="BE238" t="str">
            <v>2p1</v>
          </cell>
        </row>
        <row r="239">
          <cell r="AR239">
            <v>0</v>
          </cell>
          <cell r="AS239">
            <v>0</v>
          </cell>
          <cell r="AT239">
            <v>0</v>
          </cell>
          <cell r="AU239">
            <v>0</v>
          </cell>
          <cell r="AV239">
            <v>0</v>
          </cell>
          <cell r="AW239">
            <v>0</v>
          </cell>
          <cell r="AX239">
            <v>0</v>
          </cell>
          <cell r="AY239">
            <v>0</v>
          </cell>
          <cell r="AZ239">
            <v>0</v>
          </cell>
          <cell r="BA239">
            <v>0</v>
          </cell>
          <cell r="BB239">
            <v>2</v>
          </cell>
          <cell r="BC239">
            <v>0</v>
          </cell>
          <cell r="BD239">
            <v>0</v>
          </cell>
          <cell r="BE239" t="str">
            <v>2p2</v>
          </cell>
        </row>
        <row r="240">
          <cell r="AR240">
            <v>0</v>
          </cell>
          <cell r="AS240">
            <v>0</v>
          </cell>
          <cell r="AT240">
            <v>0</v>
          </cell>
          <cell r="AU240">
            <v>0</v>
          </cell>
          <cell r="AV240">
            <v>0</v>
          </cell>
          <cell r="AW240">
            <v>0</v>
          </cell>
          <cell r="AX240">
            <v>0</v>
          </cell>
          <cell r="AY240">
            <v>0</v>
          </cell>
          <cell r="AZ240">
            <v>0</v>
          </cell>
          <cell r="BA240">
            <v>0</v>
          </cell>
          <cell r="BB240">
            <v>4</v>
          </cell>
          <cell r="BC240">
            <v>0</v>
          </cell>
          <cell r="BD240">
            <v>0</v>
          </cell>
          <cell r="BE240" t="str">
            <v>3p1</v>
          </cell>
        </row>
        <row r="241">
          <cell r="AR241">
            <v>0</v>
          </cell>
          <cell r="AS241">
            <v>0</v>
          </cell>
          <cell r="AT241">
            <v>0</v>
          </cell>
          <cell r="AU241">
            <v>0</v>
          </cell>
          <cell r="AV241">
            <v>0</v>
          </cell>
          <cell r="AW241">
            <v>0</v>
          </cell>
          <cell r="AX241">
            <v>0</v>
          </cell>
          <cell r="AY241">
            <v>0</v>
          </cell>
          <cell r="AZ241">
            <v>0</v>
          </cell>
          <cell r="BA241">
            <v>0</v>
          </cell>
          <cell r="BB241">
            <v>5</v>
          </cell>
          <cell r="BC241">
            <v>0</v>
          </cell>
          <cell r="BD241">
            <v>0</v>
          </cell>
          <cell r="BE241" t="str">
            <v>3p2</v>
          </cell>
        </row>
        <row r="243">
          <cell r="AR243">
            <v>1</v>
          </cell>
          <cell r="AS243">
            <v>1</v>
          </cell>
          <cell r="AT243">
            <v>1</v>
          </cell>
          <cell r="AU243">
            <v>1</v>
          </cell>
          <cell r="AV243">
            <v>1</v>
          </cell>
          <cell r="AW243">
            <v>1</v>
          </cell>
          <cell r="AX243">
            <v>1</v>
          </cell>
          <cell r="AY243">
            <v>1</v>
          </cell>
          <cell r="AZ243">
            <v>1</v>
          </cell>
          <cell r="BA243">
            <v>1</v>
          </cell>
          <cell r="BB243">
            <v>1</v>
          </cell>
          <cell r="BC243">
            <v>1</v>
          </cell>
          <cell r="BD243">
            <v>1</v>
          </cell>
          <cell r="BE243">
            <v>1</v>
          </cell>
        </row>
        <row r="244">
          <cell r="AR244" t="str">
            <v>-</v>
          </cell>
          <cell r="AS244" t="str">
            <v>-</v>
          </cell>
          <cell r="AT244" t="str">
            <v>-</v>
          </cell>
          <cell r="AU244">
            <v>4</v>
          </cell>
          <cell r="AV244" t="str">
            <v>-</v>
          </cell>
          <cell r="AW244">
            <v>1</v>
          </cell>
          <cell r="AX244">
            <v>1</v>
          </cell>
          <cell r="AY244">
            <v>1</v>
          </cell>
          <cell r="AZ244">
            <v>1</v>
          </cell>
          <cell r="BA244">
            <v>1</v>
          </cell>
          <cell r="BB244">
            <v>1</v>
          </cell>
          <cell r="BC244">
            <v>1</v>
          </cell>
          <cell r="BD244">
            <v>1</v>
          </cell>
          <cell r="BE244">
            <v>1</v>
          </cell>
        </row>
        <row r="245">
          <cell r="BC245">
            <v>1</v>
          </cell>
        </row>
        <row r="246">
          <cell r="AR246">
            <v>2</v>
          </cell>
          <cell r="AS246">
            <v>2</v>
          </cell>
          <cell r="AT246">
            <v>2</v>
          </cell>
          <cell r="AU246">
            <v>2</v>
          </cell>
          <cell r="AV246">
            <v>2</v>
          </cell>
          <cell r="AW246">
            <v>2</v>
          </cell>
          <cell r="AX246">
            <v>2</v>
          </cell>
          <cell r="AY246">
            <v>2</v>
          </cell>
          <cell r="AZ246">
            <v>2</v>
          </cell>
          <cell r="BA246">
            <v>2</v>
          </cell>
          <cell r="BB246">
            <v>2</v>
          </cell>
          <cell r="BC246">
            <v>2</v>
          </cell>
          <cell r="BD246">
            <v>2</v>
          </cell>
          <cell r="BE246">
            <v>2</v>
          </cell>
        </row>
        <row r="247">
          <cell r="AR247" t="str">
            <v>-</v>
          </cell>
          <cell r="AS247" t="str">
            <v>-</v>
          </cell>
          <cell r="AT247" t="str">
            <v>-</v>
          </cell>
          <cell r="AU247">
            <v>5</v>
          </cell>
          <cell r="AV247" t="str">
            <v>-</v>
          </cell>
          <cell r="AW247">
            <v>2</v>
          </cell>
          <cell r="AX247">
            <v>2</v>
          </cell>
          <cell r="AY247">
            <v>2</v>
          </cell>
          <cell r="AZ247">
            <v>2</v>
          </cell>
          <cell r="BA247">
            <v>2</v>
          </cell>
          <cell r="BB247">
            <v>2</v>
          </cell>
          <cell r="BC247">
            <v>2</v>
          </cell>
          <cell r="BD247">
            <v>2</v>
          </cell>
          <cell r="BE247">
            <v>2</v>
          </cell>
        </row>
        <row r="248">
          <cell r="BC248">
            <v>2</v>
          </cell>
        </row>
        <row r="249">
          <cell r="AS249">
            <v>3</v>
          </cell>
          <cell r="AT249">
            <v>3</v>
          </cell>
          <cell r="AU249">
            <v>3</v>
          </cell>
          <cell r="AV249">
            <v>3</v>
          </cell>
          <cell r="AW249">
            <v>3</v>
          </cell>
          <cell r="AX249">
            <v>3</v>
          </cell>
          <cell r="AY249" t="str">
            <v>-</v>
          </cell>
          <cell r="AZ249">
            <v>3</v>
          </cell>
          <cell r="BA249">
            <v>3</v>
          </cell>
          <cell r="BB249">
            <v>3</v>
          </cell>
          <cell r="BC249" t="str">
            <v>-</v>
          </cell>
          <cell r="BD249">
            <v>3</v>
          </cell>
          <cell r="BE249">
            <v>3</v>
          </cell>
        </row>
        <row r="250">
          <cell r="AS250" t="str">
            <v>-</v>
          </cell>
          <cell r="AT250" t="str">
            <v>-</v>
          </cell>
          <cell r="AU250">
            <v>6</v>
          </cell>
          <cell r="AV250" t="str">
            <v>-</v>
          </cell>
          <cell r="AW250">
            <v>3</v>
          </cell>
          <cell r="AX250">
            <v>3</v>
          </cell>
          <cell r="AY250" t="str">
            <v>-</v>
          </cell>
          <cell r="AZ250">
            <v>3</v>
          </cell>
          <cell r="BA250" t="str">
            <v>-</v>
          </cell>
          <cell r="BB250">
            <v>3</v>
          </cell>
          <cell r="BC250" t="str">
            <v>-</v>
          </cell>
          <cell r="BD250">
            <v>3</v>
          </cell>
          <cell r="BE250">
            <v>3</v>
          </cell>
        </row>
        <row r="251">
          <cell r="BC251" t="str">
            <v>-</v>
          </cell>
        </row>
        <row r="252">
          <cell r="AS252" t="str">
            <v>-</v>
          </cell>
          <cell r="AT252" t="str">
            <v>-</v>
          </cell>
          <cell r="AU252" t="str">
            <v>-</v>
          </cell>
          <cell r="AV252" t="str">
            <v>-</v>
          </cell>
          <cell r="AW252" t="str">
            <v>-</v>
          </cell>
          <cell r="AX252" t="str">
            <v>-</v>
          </cell>
          <cell r="AY252" t="str">
            <v>-</v>
          </cell>
          <cell r="AZ252" t="str">
            <v>-</v>
          </cell>
          <cell r="BA252" t="str">
            <v>-</v>
          </cell>
          <cell r="BB252">
            <v>4</v>
          </cell>
          <cell r="BC252" t="str">
            <v>-</v>
          </cell>
          <cell r="BD252" t="str">
            <v>F</v>
          </cell>
          <cell r="BE252" t="str">
            <v>F</v>
          </cell>
        </row>
        <row r="253">
          <cell r="AS253" t="str">
            <v>-</v>
          </cell>
          <cell r="AT253" t="str">
            <v>-</v>
          </cell>
          <cell r="AU253" t="str">
            <v>-</v>
          </cell>
          <cell r="AV253" t="str">
            <v>-</v>
          </cell>
          <cell r="AW253" t="str">
            <v>-</v>
          </cell>
          <cell r="AX253" t="str">
            <v>-</v>
          </cell>
          <cell r="AY253" t="str">
            <v>-</v>
          </cell>
          <cell r="AZ253" t="str">
            <v>-</v>
          </cell>
          <cell r="BA253" t="str">
            <v>-</v>
          </cell>
          <cell r="BB253">
            <v>4</v>
          </cell>
          <cell r="BC253" t="str">
            <v>-</v>
          </cell>
          <cell r="BD253" t="str">
            <v>-</v>
          </cell>
          <cell r="BE253" t="str">
            <v>-</v>
          </cell>
        </row>
        <row r="254">
          <cell r="BC254" t="str">
            <v>-</v>
          </cell>
        </row>
        <row r="255">
          <cell r="AS255" t="str">
            <v>-</v>
          </cell>
          <cell r="AT255" t="str">
            <v>-</v>
          </cell>
          <cell r="AU255" t="str">
            <v>-</v>
          </cell>
          <cell r="AV255" t="str">
            <v>-</v>
          </cell>
          <cell r="AW255" t="str">
            <v>-</v>
          </cell>
          <cell r="AX255" t="str">
            <v>-</v>
          </cell>
          <cell r="AY255" t="str">
            <v>-</v>
          </cell>
          <cell r="AZ255" t="str">
            <v>-</v>
          </cell>
          <cell r="BA255" t="str">
            <v>-</v>
          </cell>
          <cell r="BB255">
            <v>5</v>
          </cell>
          <cell r="BC255" t="str">
            <v>-</v>
          </cell>
          <cell r="BD255" t="str">
            <v>-</v>
          </cell>
          <cell r="BE255" t="str">
            <v>C</v>
          </cell>
        </row>
        <row r="256">
          <cell r="AS256" t="str">
            <v>-</v>
          </cell>
          <cell r="AT256" t="str">
            <v>-</v>
          </cell>
          <cell r="AU256" t="str">
            <v>-</v>
          </cell>
          <cell r="AV256" t="str">
            <v>-</v>
          </cell>
          <cell r="AW256" t="str">
            <v>-</v>
          </cell>
          <cell r="AX256" t="str">
            <v>-</v>
          </cell>
          <cell r="AY256" t="str">
            <v>-</v>
          </cell>
          <cell r="AZ256" t="str">
            <v>-</v>
          </cell>
          <cell r="BA256" t="str">
            <v>-</v>
          </cell>
          <cell r="BB256">
            <v>5</v>
          </cell>
          <cell r="BC256" t="str">
            <v>-</v>
          </cell>
          <cell r="BD256" t="str">
            <v>-</v>
          </cell>
          <cell r="BE256" t="str">
            <v>C</v>
          </cell>
        </row>
        <row r="258">
          <cell r="AR258">
            <v>1</v>
          </cell>
          <cell r="AS258">
            <v>1</v>
          </cell>
          <cell r="AT258">
            <v>1</v>
          </cell>
          <cell r="AU258">
            <v>1</v>
          </cell>
          <cell r="AV258">
            <v>1</v>
          </cell>
          <cell r="AW258">
            <v>1</v>
          </cell>
          <cell r="AX258">
            <v>1</v>
          </cell>
          <cell r="AY258">
            <v>1</v>
          </cell>
          <cell r="AZ258">
            <v>1</v>
          </cell>
          <cell r="BA258">
            <v>1</v>
          </cell>
          <cell r="BB258">
            <v>1</v>
          </cell>
          <cell r="BC258">
            <v>1</v>
          </cell>
          <cell r="BD258">
            <v>1</v>
          </cell>
          <cell r="BE258">
            <v>1</v>
          </cell>
        </row>
        <row r="259">
          <cell r="AR259">
            <v>2</v>
          </cell>
          <cell r="AS259">
            <v>2</v>
          </cell>
          <cell r="AT259">
            <v>2</v>
          </cell>
          <cell r="AU259">
            <v>2</v>
          </cell>
          <cell r="AV259">
            <v>2</v>
          </cell>
          <cell r="AW259">
            <v>2</v>
          </cell>
          <cell r="AX259">
            <v>2</v>
          </cell>
          <cell r="AY259">
            <v>2</v>
          </cell>
          <cell r="AZ259">
            <v>2</v>
          </cell>
          <cell r="BA259">
            <v>2</v>
          </cell>
          <cell r="BB259">
            <v>2</v>
          </cell>
          <cell r="BC259">
            <v>2</v>
          </cell>
          <cell r="BD259">
            <v>2</v>
          </cell>
          <cell r="BE259">
            <v>2</v>
          </cell>
        </row>
        <row r="260">
          <cell r="AR260" t="str">
            <v>_</v>
          </cell>
          <cell r="AS260" t="str">
            <v>_</v>
          </cell>
          <cell r="AT260">
            <v>3</v>
          </cell>
          <cell r="AU260">
            <v>3</v>
          </cell>
          <cell r="AV260">
            <v>3</v>
          </cell>
          <cell r="AW260">
            <v>3</v>
          </cell>
          <cell r="AX260">
            <v>3</v>
          </cell>
          <cell r="AY260">
            <v>3</v>
          </cell>
          <cell r="AZ260">
            <v>3</v>
          </cell>
          <cell r="BA260">
            <v>3</v>
          </cell>
          <cell r="BB260">
            <v>3</v>
          </cell>
          <cell r="BC260">
            <v>3</v>
          </cell>
          <cell r="BD260">
            <v>3</v>
          </cell>
          <cell r="BE260">
            <v>3</v>
          </cell>
        </row>
        <row r="261">
          <cell r="AR261" t="str">
            <v>_</v>
          </cell>
          <cell r="AS261" t="str">
            <v>_</v>
          </cell>
          <cell r="AT261" t="str">
            <v>_</v>
          </cell>
          <cell r="AU261" t="str">
            <v>_</v>
          </cell>
          <cell r="AV261" t="str">
            <v>_</v>
          </cell>
          <cell r="AW261">
            <v>1</v>
          </cell>
          <cell r="AX261">
            <v>4</v>
          </cell>
          <cell r="AY261">
            <v>4</v>
          </cell>
          <cell r="AZ261">
            <v>4</v>
          </cell>
          <cell r="BA261">
            <v>4</v>
          </cell>
          <cell r="BB261">
            <v>4</v>
          </cell>
          <cell r="BC261">
            <v>1</v>
          </cell>
          <cell r="BD261">
            <v>4</v>
          </cell>
          <cell r="BE261">
            <v>1</v>
          </cell>
        </row>
        <row r="262">
          <cell r="AR262" t="str">
            <v>_</v>
          </cell>
          <cell r="AS262" t="str">
            <v>_</v>
          </cell>
          <cell r="AT262" t="str">
            <v>_</v>
          </cell>
          <cell r="AU262" t="str">
            <v>_</v>
          </cell>
          <cell r="AV262" t="str">
            <v>_</v>
          </cell>
          <cell r="AW262">
            <v>2</v>
          </cell>
          <cell r="AX262" t="str">
            <v>_</v>
          </cell>
          <cell r="AY262" t="str">
            <v>_</v>
          </cell>
          <cell r="AZ262" t="str">
            <v>_</v>
          </cell>
          <cell r="BA262">
            <v>5</v>
          </cell>
          <cell r="BB262">
            <v>5</v>
          </cell>
          <cell r="BC262">
            <v>2</v>
          </cell>
          <cell r="BD262">
            <v>5</v>
          </cell>
          <cell r="BE262">
            <v>2</v>
          </cell>
        </row>
        <row r="263">
          <cell r="AR263" t="str">
            <v>_</v>
          </cell>
          <cell r="AS263" t="str">
            <v>_</v>
          </cell>
          <cell r="AT263" t="str">
            <v>_</v>
          </cell>
          <cell r="AU263" t="str">
            <v>_</v>
          </cell>
          <cell r="AV263" t="str">
            <v>_</v>
          </cell>
          <cell r="AW263">
            <v>3</v>
          </cell>
          <cell r="AX263" t="str">
            <v>_</v>
          </cell>
          <cell r="AY263" t="str">
            <v>_</v>
          </cell>
          <cell r="AZ263" t="str">
            <v>_</v>
          </cell>
          <cell r="BA263" t="str">
            <v>_</v>
          </cell>
          <cell r="BB263" t="str">
            <v>_</v>
          </cell>
          <cell r="BC263">
            <v>3</v>
          </cell>
          <cell r="BD263">
            <v>6</v>
          </cell>
          <cell r="BE263">
            <v>3</v>
          </cell>
        </row>
        <row r="267">
          <cell r="AU267" t="str">
            <v>BB</v>
          </cell>
          <cell r="BE267" t="str">
            <v>AA</v>
          </cell>
        </row>
      </sheetData>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rage"/>
      <sheetName val="Match"/>
      <sheetName val="Classement impression"/>
      <sheetName val="Feuille de résultat"/>
      <sheetName val="Engagement tour suivant"/>
      <sheetName val="Joueurs"/>
    </sheetNames>
    <sheetDataSet>
      <sheetData sheetId="0">
        <row r="27">
          <cell r="P27" t="str">
            <v>Eliminatoire 1er tour</v>
          </cell>
        </row>
        <row r="28">
          <cell r="P28" t="str">
            <v>Eliminatoire 2ème tour</v>
          </cell>
        </row>
        <row r="29">
          <cell r="P29" t="str">
            <v>Eliminatoire 3ème tour</v>
          </cell>
        </row>
        <row r="30">
          <cell r="P30" t="str">
            <v>Quart de finale</v>
          </cell>
        </row>
        <row r="31">
          <cell r="P31" t="str">
            <v>Demi finale</v>
          </cell>
        </row>
        <row r="32">
          <cell r="P32" t="str">
            <v>Finale Oise</v>
          </cell>
        </row>
        <row r="33">
          <cell r="P33" t="str">
            <v>Finale Picardie</v>
          </cell>
        </row>
        <row r="34">
          <cell r="P34" t="str">
            <v>Finale secteur</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telemat.org/FFBI/sif/?cs=4.f2ac1f64f1479ed81c3d1f41278044ddb8899300d795588dc00a0322c751353dff5bdccd20d832e16fe14af0c4ae47b56bfe0103a7c02537f5038e9ccf1c51f6cd8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mailto:denis.hornain@orange.com?subject=Engagement%20Finale%20Ligue%20Jeunes%20ou%20F&#233;minines" TargetMode="External"/><Relationship Id="rId3" Type="http://schemas.openxmlformats.org/officeDocument/2006/relationships/hyperlink" Target="mailto:patmolbil@gmail.com" TargetMode="External"/><Relationship Id="rId7" Type="http://schemas.openxmlformats.org/officeDocument/2006/relationships/hyperlink" Target="mailto:beabertolotti@hotmail.fr" TargetMode="External"/><Relationship Id="rId2" Type="http://schemas.openxmlformats.org/officeDocument/2006/relationships/hyperlink" Target="mailto:resultats.billard.ligue.hdf@gmail.com" TargetMode="External"/><Relationship Id="rId1" Type="http://schemas.openxmlformats.org/officeDocument/2006/relationships/hyperlink" Target="mailto:martin.dupont@gmail.com" TargetMode="External"/><Relationship Id="rId6" Type="http://schemas.openxmlformats.org/officeDocument/2006/relationships/hyperlink" Target="mailto:a.ottevaere@hotmail.fr" TargetMode="External"/><Relationship Id="rId5" Type="http://schemas.openxmlformats.org/officeDocument/2006/relationships/hyperlink" Target="mailto:emmanuel.taffin@orange.fr" TargetMode="External"/><Relationship Id="rId10" Type="http://schemas.openxmlformats.org/officeDocument/2006/relationships/drawing" Target="../drawings/drawing3.xml"/><Relationship Id="rId4" Type="http://schemas.openxmlformats.org/officeDocument/2006/relationships/hyperlink" Target="mailto:mickey.80@wanadoo.fr" TargetMode="External"/><Relationship Id="rId9"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R92"/>
  <sheetViews>
    <sheetView zoomScale="80" zoomScaleNormal="80" workbookViewId="0">
      <selection activeCell="H13" sqref="H13"/>
    </sheetView>
  </sheetViews>
  <sheetFormatPr baseColWidth="10" defaultColWidth="11.44140625" defaultRowHeight="14.4" x14ac:dyDescent="0.3"/>
  <cols>
    <col min="1" max="1" width="4" style="65" bestFit="1" customWidth="1"/>
    <col min="2" max="2" width="34.6640625" style="66" customWidth="1"/>
    <col min="3" max="3" width="13.6640625" style="65" customWidth="1"/>
    <col min="4" max="4" width="13" style="66" customWidth="1"/>
    <col min="5" max="5" width="18.77734375" style="66" customWidth="1"/>
    <col min="6" max="6" width="7.77734375" style="66" bestFit="1" customWidth="1"/>
    <col min="7" max="7" width="18.77734375" style="66" bestFit="1" customWidth="1"/>
    <col min="8" max="8" width="47.21875" style="66" bestFit="1" customWidth="1"/>
    <col min="9" max="9" width="9.77734375" style="6" customWidth="1"/>
    <col min="10" max="10" width="13.21875" style="6" hidden="1" customWidth="1"/>
    <col min="11" max="11" width="11.6640625" style="6" hidden="1" customWidth="1"/>
    <col min="12" max="12" width="47.21875" style="6" hidden="1" customWidth="1"/>
    <col min="13" max="13" width="5.109375" style="6" hidden="1" customWidth="1"/>
    <col min="14" max="16" width="11.44140625" style="6" hidden="1" customWidth="1"/>
    <col min="17" max="17" width="38" style="6" hidden="1" customWidth="1"/>
    <col min="18" max="18" width="20.6640625" style="6" hidden="1" customWidth="1"/>
    <col min="19" max="19" width="6.44140625" style="6" hidden="1" customWidth="1"/>
    <col min="20" max="20" width="24.77734375" style="6" hidden="1" customWidth="1"/>
    <col min="21" max="22" width="5.109375" style="6" hidden="1" customWidth="1"/>
    <col min="23" max="23" width="3.88671875" style="6" hidden="1" customWidth="1"/>
    <col min="24" max="44" width="11.44140625" style="6" hidden="1" customWidth="1"/>
    <col min="45" max="54" width="11.44140625" style="6" customWidth="1"/>
    <col min="55" max="16384" width="11.44140625" style="6"/>
  </cols>
  <sheetData>
    <row r="1" spans="1:19" ht="15" customHeight="1" x14ac:dyDescent="0.3"/>
    <row r="2" spans="1:19" ht="15" customHeight="1" x14ac:dyDescent="0.3">
      <c r="B2" s="334" t="s">
        <v>0</v>
      </c>
      <c r="C2" s="334"/>
      <c r="H2" s="67" t="s">
        <v>1</v>
      </c>
    </row>
    <row r="3" spans="1:19" ht="15" customHeight="1" x14ac:dyDescent="0.3">
      <c r="H3" s="68" t="s">
        <v>351</v>
      </c>
      <c r="S3" s="8">
        <f>IF(ISBLANK(H3),0,1)</f>
        <v>1</v>
      </c>
    </row>
    <row r="4" spans="1:19" ht="15" customHeight="1" x14ac:dyDescent="0.3">
      <c r="S4" s="8">
        <f t="shared" ref="S4:S13" si="0">IF(ISBLANK(H4),0,1)</f>
        <v>0</v>
      </c>
    </row>
    <row r="5" spans="1:19" ht="15" customHeight="1" x14ac:dyDescent="0.3">
      <c r="B5" s="66" t="s">
        <v>2</v>
      </c>
      <c r="C5" s="66" t="s">
        <v>3</v>
      </c>
      <c r="E5" s="68"/>
      <c r="F5" s="68"/>
      <c r="G5" s="68" t="s">
        <v>4</v>
      </c>
      <c r="H5" s="68" t="s">
        <v>34</v>
      </c>
      <c r="J5" s="13"/>
      <c r="K5" s="13"/>
      <c r="L5" s="13"/>
      <c r="M5" s="28"/>
      <c r="N5" s="13"/>
      <c r="Q5" s="7" t="str">
        <f>IF(S15=7,VLOOKUP(H3,L7:M19,2,FALSE),0)</f>
        <v>5f</v>
      </c>
      <c r="S5" s="8">
        <f>IF(ISBLANK(H5),0,1)</f>
        <v>1</v>
      </c>
    </row>
    <row r="6" spans="1:19" ht="15" customHeight="1" x14ac:dyDescent="0.3">
      <c r="A6" s="65">
        <v>1</v>
      </c>
      <c r="B6" s="83" t="str">
        <f>IF(C6="","",VLOOKUP(C6,Joueurs!A:D,2,FALSE))</f>
        <v>HENWOOD PHILIPPE</v>
      </c>
      <c r="C6" s="333" t="s">
        <v>248</v>
      </c>
      <c r="D6" s="69"/>
      <c r="E6" s="68"/>
      <c r="F6" s="68"/>
      <c r="G6" s="68" t="s">
        <v>5</v>
      </c>
      <c r="H6" s="68" t="s">
        <v>22</v>
      </c>
      <c r="I6" s="5"/>
      <c r="J6" s="5"/>
      <c r="K6" s="5"/>
      <c r="L6" s="9"/>
      <c r="M6" s="9"/>
      <c r="N6" s="5"/>
      <c r="S6" s="8">
        <f t="shared" si="0"/>
        <v>1</v>
      </c>
    </row>
    <row r="7" spans="1:19" ht="15" customHeight="1" x14ac:dyDescent="0.3">
      <c r="A7" s="65">
        <v>2</v>
      </c>
      <c r="B7" s="83" t="str">
        <f>IF(C7="","",VLOOKUP(C7,Joueurs!A:D,2,FALSE))</f>
        <v>CASTANER GEORGES</v>
      </c>
      <c r="C7" s="333" t="s">
        <v>511</v>
      </c>
      <c r="D7" s="70"/>
      <c r="G7" s="68" t="s">
        <v>6</v>
      </c>
      <c r="H7" s="68" t="s">
        <v>42</v>
      </c>
      <c r="K7" s="13"/>
      <c r="L7" s="5" t="s">
        <v>15</v>
      </c>
      <c r="M7" s="7" t="s">
        <v>16</v>
      </c>
      <c r="Q7" s="14" t="s">
        <v>332</v>
      </c>
      <c r="S7" s="8">
        <f t="shared" si="0"/>
        <v>1</v>
      </c>
    </row>
    <row r="8" spans="1:19" ht="15" customHeight="1" x14ac:dyDescent="0.3">
      <c r="A8" s="65">
        <v>3</v>
      </c>
      <c r="B8" s="83" t="str">
        <f>IF(C8="","",VLOOKUP(C8,Joueurs!A:D,2,FALSE))</f>
        <v>CREDOT GERALD</v>
      </c>
      <c r="C8" s="333" t="s">
        <v>266</v>
      </c>
      <c r="D8" s="69"/>
      <c r="E8" s="68"/>
      <c r="F8" s="68"/>
      <c r="G8" s="68" t="s">
        <v>7</v>
      </c>
      <c r="H8" s="68" t="s">
        <v>338</v>
      </c>
      <c r="I8" s="5"/>
      <c r="J8" s="5"/>
      <c r="K8" s="5"/>
      <c r="L8" s="5" t="s">
        <v>349</v>
      </c>
      <c r="M8" s="7" t="s">
        <v>17</v>
      </c>
      <c r="Q8" s="14" t="s">
        <v>539</v>
      </c>
      <c r="S8" s="8">
        <f t="shared" si="0"/>
        <v>1</v>
      </c>
    </row>
    <row r="9" spans="1:19" ht="15" customHeight="1" x14ac:dyDescent="0.3">
      <c r="A9" s="65">
        <v>4</v>
      </c>
      <c r="B9" s="83" t="str">
        <f>IF(C9="","",VLOOKUP(C9,Joueurs!A:D,2,FALSE))</f>
        <v>BLANCHARD THIERRY</v>
      </c>
      <c r="C9" s="333" t="s">
        <v>876</v>
      </c>
      <c r="D9" s="69"/>
      <c r="G9" s="68" t="s">
        <v>8</v>
      </c>
      <c r="H9" s="82">
        <v>46046</v>
      </c>
      <c r="I9" s="5"/>
      <c r="L9" s="5" t="s">
        <v>350</v>
      </c>
      <c r="M9" s="7" t="s">
        <v>18</v>
      </c>
      <c r="Q9" s="14" t="s">
        <v>338</v>
      </c>
      <c r="S9" s="8">
        <f t="shared" si="0"/>
        <v>1</v>
      </c>
    </row>
    <row r="10" spans="1:19" ht="15" customHeight="1" x14ac:dyDescent="0.3">
      <c r="A10" s="65">
        <v>5</v>
      </c>
      <c r="B10" s="83" t="str">
        <f>IF(C10="","",VLOOKUP(C10,Joueurs!A:D,2,FALSE))</f>
        <v>LACHOQUE DANIEL</v>
      </c>
      <c r="C10" s="333" t="s">
        <v>434</v>
      </c>
      <c r="D10" s="69"/>
      <c r="L10" s="5" t="s">
        <v>351</v>
      </c>
      <c r="M10" s="7" t="s">
        <v>21</v>
      </c>
      <c r="Q10" s="14" t="s">
        <v>331</v>
      </c>
      <c r="S10" s="8">
        <f t="shared" si="0"/>
        <v>0</v>
      </c>
    </row>
    <row r="11" spans="1:19" ht="15" customHeight="1" x14ac:dyDescent="0.3">
      <c r="B11" s="72"/>
      <c r="C11" s="69"/>
      <c r="D11" s="69"/>
      <c r="L11" s="5" t="s">
        <v>424</v>
      </c>
      <c r="M11" s="7" t="s">
        <v>24</v>
      </c>
      <c r="Q11" s="14" t="s">
        <v>335</v>
      </c>
      <c r="S11" s="8">
        <f t="shared" si="0"/>
        <v>0</v>
      </c>
    </row>
    <row r="12" spans="1:19" ht="15" customHeight="1" x14ac:dyDescent="0.3">
      <c r="B12" s="72"/>
      <c r="C12" s="69"/>
      <c r="D12" s="69"/>
      <c r="L12" s="5"/>
      <c r="M12" s="7"/>
      <c r="Q12" s="14" t="s">
        <v>537</v>
      </c>
      <c r="S12" s="8">
        <f t="shared" si="0"/>
        <v>0</v>
      </c>
    </row>
    <row r="13" spans="1:19" ht="15" customHeight="1" x14ac:dyDescent="0.3">
      <c r="B13" s="72"/>
      <c r="C13" s="69"/>
      <c r="D13" s="69"/>
      <c r="G13" s="66" t="s">
        <v>12</v>
      </c>
      <c r="H13" s="68" t="s">
        <v>984</v>
      </c>
      <c r="L13" s="5"/>
      <c r="M13" s="7"/>
      <c r="Q13" s="14" t="s">
        <v>538</v>
      </c>
      <c r="S13" s="8">
        <f t="shared" si="0"/>
        <v>1</v>
      </c>
    </row>
    <row r="14" spans="1:19" ht="15" customHeight="1" x14ac:dyDescent="0.3">
      <c r="B14" s="71"/>
      <c r="C14" s="71"/>
      <c r="D14" s="71"/>
      <c r="M14" s="7"/>
      <c r="Q14" s="14" t="s">
        <v>333</v>
      </c>
    </row>
    <row r="15" spans="1:19" ht="15" customHeight="1" x14ac:dyDescent="0.3">
      <c r="B15" s="71"/>
      <c r="C15" s="71"/>
      <c r="D15" s="71"/>
      <c r="J15" s="15"/>
      <c r="L15" s="5"/>
      <c r="M15" s="7"/>
      <c r="Q15" s="14" t="s">
        <v>336</v>
      </c>
      <c r="S15" s="10">
        <f>SUM(S3:S14)</f>
        <v>7</v>
      </c>
    </row>
    <row r="16" spans="1:19" ht="15" customHeight="1" x14ac:dyDescent="0.3">
      <c r="B16" s="71"/>
      <c r="C16" s="71"/>
      <c r="D16" s="71"/>
      <c r="I16" s="335"/>
      <c r="J16" s="335"/>
      <c r="L16" s="5"/>
      <c r="M16" s="7"/>
      <c r="Q16" s="14" t="s">
        <v>540</v>
      </c>
    </row>
    <row r="17" spans="1:19" ht="15" customHeight="1" x14ac:dyDescent="0.3">
      <c r="B17" s="71"/>
      <c r="C17" s="71"/>
      <c r="D17" s="71"/>
      <c r="F17" s="66" t="s">
        <v>14</v>
      </c>
      <c r="G17" s="66">
        <f>IF(H7="","",R49)</f>
        <v>80</v>
      </c>
      <c r="L17" s="5"/>
      <c r="M17" s="7"/>
      <c r="Q17" s="14" t="s">
        <v>334</v>
      </c>
    </row>
    <row r="18" spans="1:19" ht="15" customHeight="1" x14ac:dyDescent="0.3">
      <c r="B18" s="71"/>
      <c r="C18" s="71"/>
      <c r="D18" s="71"/>
      <c r="I18" s="12"/>
      <c r="L18" s="5"/>
      <c r="M18" s="7"/>
      <c r="Q18" s="14" t="s">
        <v>337</v>
      </c>
    </row>
    <row r="19" spans="1:19" ht="15" customHeight="1" x14ac:dyDescent="0.3">
      <c r="B19" s="72"/>
      <c r="C19" s="72"/>
      <c r="D19" s="72"/>
      <c r="E19" s="73"/>
      <c r="F19" s="73"/>
      <c r="G19" s="73"/>
      <c r="H19" s="73"/>
      <c r="J19" s="16"/>
      <c r="K19" s="11"/>
      <c r="L19" s="5"/>
      <c r="M19" s="7"/>
    </row>
    <row r="20" spans="1:19" ht="15" customHeight="1" x14ac:dyDescent="0.3">
      <c r="B20" s="72"/>
      <c r="C20" s="72"/>
      <c r="D20" s="72"/>
      <c r="E20" s="73"/>
      <c r="F20" s="73"/>
      <c r="G20" s="73"/>
      <c r="H20" s="73"/>
      <c r="I20" s="335"/>
      <c r="J20" s="335"/>
      <c r="M20" s="7"/>
    </row>
    <row r="21" spans="1:19" ht="15" customHeight="1" x14ac:dyDescent="0.3">
      <c r="B21" s="72"/>
      <c r="C21" s="72"/>
      <c r="D21" s="72"/>
      <c r="E21" s="73"/>
      <c r="F21" s="73"/>
      <c r="G21" s="73"/>
      <c r="H21" s="73"/>
      <c r="I21" s="17"/>
      <c r="Q21" s="14" t="s">
        <v>19</v>
      </c>
    </row>
    <row r="22" spans="1:19" ht="15" customHeight="1" x14ac:dyDescent="0.3">
      <c r="A22" s="74">
        <v>20</v>
      </c>
      <c r="B22" s="71" t="s">
        <v>20</v>
      </c>
      <c r="C22" s="72"/>
      <c r="D22" s="72"/>
      <c r="E22" s="73"/>
      <c r="F22" s="73"/>
      <c r="G22" s="73"/>
      <c r="H22" s="73"/>
      <c r="I22" s="17"/>
      <c r="Q22" s="14" t="s">
        <v>22</v>
      </c>
    </row>
    <row r="23" spans="1:19" ht="15" customHeight="1" x14ac:dyDescent="0.3">
      <c r="A23" s="74">
        <v>21</v>
      </c>
      <c r="B23" s="71" t="s">
        <v>23</v>
      </c>
      <c r="C23" s="72"/>
      <c r="D23" s="72"/>
      <c r="E23" s="73"/>
      <c r="F23" s="73"/>
      <c r="G23" s="73"/>
      <c r="H23" s="73"/>
      <c r="Q23" s="14" t="s">
        <v>25</v>
      </c>
    </row>
    <row r="24" spans="1:19" ht="15" customHeight="1" x14ac:dyDescent="0.3">
      <c r="A24" s="74" t="s">
        <v>26</v>
      </c>
      <c r="B24" s="72" t="s">
        <v>27</v>
      </c>
      <c r="C24" s="72"/>
      <c r="D24" s="72"/>
      <c r="E24" s="73"/>
      <c r="F24" s="73"/>
      <c r="G24" s="73"/>
      <c r="H24" s="73"/>
      <c r="Q24" s="14" t="s">
        <v>28</v>
      </c>
    </row>
    <row r="25" spans="1:19" ht="15" customHeight="1" x14ac:dyDescent="0.3">
      <c r="B25" s="73"/>
      <c r="C25" s="75"/>
      <c r="D25" s="73"/>
      <c r="E25" s="73"/>
      <c r="F25" s="73"/>
      <c r="G25" s="73"/>
      <c r="H25" s="73"/>
      <c r="Q25" s="5" t="s">
        <v>29</v>
      </c>
    </row>
    <row r="26" spans="1:19" ht="15" customHeight="1" x14ac:dyDescent="0.3">
      <c r="B26" s="76" t="s">
        <v>30</v>
      </c>
      <c r="Q26" s="5" t="s">
        <v>31</v>
      </c>
    </row>
    <row r="27" spans="1:19" ht="15" customHeight="1" x14ac:dyDescent="0.3">
      <c r="B27" s="76" t="s">
        <v>383</v>
      </c>
      <c r="Q27" s="5" t="s">
        <v>32</v>
      </c>
    </row>
    <row r="28" spans="1:19" ht="15" customHeight="1" x14ac:dyDescent="0.3">
      <c r="B28" s="77"/>
      <c r="Q28" s="5" t="s">
        <v>33</v>
      </c>
    </row>
    <row r="29" spans="1:19" ht="15" customHeight="1" x14ac:dyDescent="0.3">
      <c r="Q29" s="5" t="s">
        <v>34</v>
      </c>
      <c r="R29" s="6" t="s">
        <v>340</v>
      </c>
      <c r="S29" s="6" t="s">
        <v>35</v>
      </c>
    </row>
    <row r="30" spans="1:19" ht="15" customHeight="1" x14ac:dyDescent="0.3">
      <c r="A30" s="336" t="s">
        <v>444</v>
      </c>
      <c r="B30" s="336"/>
      <c r="C30" s="336"/>
      <c r="D30" s="336"/>
      <c r="E30" s="336"/>
      <c r="F30" s="336"/>
      <c r="G30" s="336"/>
      <c r="H30" s="336"/>
      <c r="Q30" s="5" t="s">
        <v>339</v>
      </c>
      <c r="R30" s="6" t="s">
        <v>37</v>
      </c>
      <c r="S30" s="6" t="s">
        <v>36</v>
      </c>
    </row>
    <row r="31" spans="1:19" ht="15" customHeight="1" x14ac:dyDescent="0.3">
      <c r="A31" s="336"/>
      <c r="B31" s="336"/>
      <c r="C31" s="336"/>
      <c r="D31" s="336"/>
      <c r="E31" s="336"/>
      <c r="F31" s="336"/>
      <c r="G31" s="336"/>
      <c r="H31" s="336"/>
    </row>
    <row r="32" spans="1:19" ht="15" customHeight="1" x14ac:dyDescent="0.3">
      <c r="A32" s="337" t="s">
        <v>445</v>
      </c>
      <c r="B32" s="337"/>
      <c r="C32" s="337"/>
      <c r="D32" s="337"/>
      <c r="E32" s="337"/>
      <c r="F32" s="337"/>
      <c r="G32" s="337"/>
      <c r="H32" s="337"/>
      <c r="Q32" s="6" t="s">
        <v>342</v>
      </c>
    </row>
    <row r="33" spans="1:17" ht="15" customHeight="1" x14ac:dyDescent="0.3">
      <c r="Q33" s="5" t="s">
        <v>39</v>
      </c>
    </row>
    <row r="34" spans="1:17" ht="15" customHeight="1" x14ac:dyDescent="0.3">
      <c r="A34" s="78"/>
      <c r="Q34" s="5" t="s">
        <v>40</v>
      </c>
    </row>
    <row r="35" spans="1:17" ht="15" customHeight="1" x14ac:dyDescent="0.3">
      <c r="Q35" s="5" t="s">
        <v>41</v>
      </c>
    </row>
    <row r="36" spans="1:17" ht="15" customHeight="1" x14ac:dyDescent="0.3">
      <c r="Q36" s="5" t="s">
        <v>42</v>
      </c>
    </row>
    <row r="37" spans="1:17" ht="15" customHeight="1" x14ac:dyDescent="0.3">
      <c r="Q37" s="5" t="s">
        <v>43</v>
      </c>
    </row>
    <row r="38" spans="1:17" ht="15" customHeight="1" x14ac:dyDescent="0.3">
      <c r="Q38" s="5" t="s">
        <v>44</v>
      </c>
    </row>
    <row r="39" spans="1:17" ht="15" customHeight="1" x14ac:dyDescent="0.3">
      <c r="C39" s="66"/>
      <c r="Q39" s="5" t="s">
        <v>45</v>
      </c>
    </row>
    <row r="40" spans="1:17" ht="15" customHeight="1" x14ac:dyDescent="0.3">
      <c r="Q40" s="5" t="s">
        <v>343</v>
      </c>
    </row>
    <row r="41" spans="1:17" ht="15" customHeight="1" x14ac:dyDescent="0.3">
      <c r="C41" s="66"/>
      <c r="G41" s="79"/>
      <c r="Q41" s="5" t="s">
        <v>46</v>
      </c>
    </row>
    <row r="42" spans="1:17" ht="15" customHeight="1" x14ac:dyDescent="0.3">
      <c r="C42" s="66"/>
      <c r="G42" s="79"/>
      <c r="Q42" s="5" t="s">
        <v>344</v>
      </c>
    </row>
    <row r="43" spans="1:17" ht="15" customHeight="1" x14ac:dyDescent="0.3">
      <c r="C43" s="66"/>
      <c r="G43" s="79"/>
      <c r="Q43" s="5" t="s">
        <v>346</v>
      </c>
    </row>
    <row r="44" spans="1:17" x14ac:dyDescent="0.3">
      <c r="B44" s="80"/>
      <c r="C44" s="66"/>
      <c r="G44" s="79"/>
      <c r="Q44" s="5" t="s">
        <v>345</v>
      </c>
    </row>
    <row r="45" spans="1:17" x14ac:dyDescent="0.3">
      <c r="B45" s="80"/>
      <c r="C45" s="66"/>
      <c r="Q45" s="5" t="s">
        <v>47</v>
      </c>
    </row>
    <row r="46" spans="1:17" x14ac:dyDescent="0.3">
      <c r="B46" s="80"/>
      <c r="C46" s="66"/>
      <c r="E46" s="81"/>
      <c r="Q46" s="5" t="s">
        <v>347</v>
      </c>
    </row>
    <row r="47" spans="1:17" x14ac:dyDescent="0.3">
      <c r="B47" s="80"/>
      <c r="Q47" s="5" t="s">
        <v>348</v>
      </c>
    </row>
    <row r="48" spans="1:17" x14ac:dyDescent="0.3">
      <c r="Q48" s="5"/>
    </row>
    <row r="49" spans="3:23" x14ac:dyDescent="0.3">
      <c r="C49" s="66"/>
      <c r="R49" s="6">
        <f>IF(H7="","",VLOOKUP(Q50,Q51:W92,5,FALSE))</f>
        <v>80</v>
      </c>
      <c r="S49" s="6">
        <f>IF(H7="","",VLOOKUP(Q50,Q51:W92,6,FALSE))</f>
        <v>0</v>
      </c>
    </row>
    <row r="50" spans="3:23" x14ac:dyDescent="0.3">
      <c r="C50" s="66"/>
      <c r="Q50" s="6" t="str">
        <f>H6&amp;H7</f>
        <v>CADREREGIONAL 1</v>
      </c>
    </row>
    <row r="51" spans="3:23" x14ac:dyDescent="0.3">
      <c r="Q51" s="325" t="str">
        <f t="shared" ref="Q51:Q88" si="1">R51&amp;T51</f>
        <v>libreMasters</v>
      </c>
      <c r="R51" s="326" t="s">
        <v>48</v>
      </c>
      <c r="S51" s="327">
        <v>1</v>
      </c>
      <c r="T51" s="328" t="s">
        <v>341</v>
      </c>
      <c r="U51" s="328">
        <v>400</v>
      </c>
      <c r="V51" s="328"/>
      <c r="W51" s="328">
        <v>20</v>
      </c>
    </row>
    <row r="52" spans="3:23" x14ac:dyDescent="0.3">
      <c r="Q52" s="325" t="str">
        <f t="shared" si="1"/>
        <v>libreNATIONAL 1</v>
      </c>
      <c r="R52" s="326" t="s">
        <v>48</v>
      </c>
      <c r="S52" s="327">
        <v>2</v>
      </c>
      <c r="T52" s="325" t="s">
        <v>39</v>
      </c>
      <c r="U52" s="326">
        <v>250</v>
      </c>
      <c r="V52" s="326"/>
      <c r="W52" s="326">
        <v>25</v>
      </c>
    </row>
    <row r="53" spans="3:23" x14ac:dyDescent="0.3">
      <c r="C53" s="66"/>
      <c r="Q53" s="325" t="str">
        <f t="shared" si="1"/>
        <v>libreNATIONAL 2</v>
      </c>
      <c r="R53" s="326" t="s">
        <v>48</v>
      </c>
      <c r="S53" s="327">
        <v>3</v>
      </c>
      <c r="T53" s="325" t="s">
        <v>40</v>
      </c>
      <c r="U53" s="326">
        <v>180</v>
      </c>
      <c r="V53" s="326"/>
      <c r="W53" s="326">
        <v>25</v>
      </c>
    </row>
    <row r="54" spans="3:23" x14ac:dyDescent="0.3">
      <c r="C54" s="66"/>
      <c r="Q54" s="325" t="str">
        <f t="shared" si="1"/>
        <v>libreNATIONAL 3</v>
      </c>
      <c r="R54" s="326" t="s">
        <v>48</v>
      </c>
      <c r="S54" s="327">
        <v>4</v>
      </c>
      <c r="T54" s="325" t="s">
        <v>41</v>
      </c>
      <c r="U54" s="326">
        <v>150</v>
      </c>
      <c r="V54" s="326"/>
      <c r="W54" s="326">
        <v>30</v>
      </c>
    </row>
    <row r="55" spans="3:23" x14ac:dyDescent="0.3">
      <c r="C55" s="66"/>
      <c r="Q55" s="325" t="str">
        <f t="shared" si="1"/>
        <v>libreREGIONAL 1</v>
      </c>
      <c r="R55" s="326" t="s">
        <v>48</v>
      </c>
      <c r="S55" s="327">
        <v>5</v>
      </c>
      <c r="T55" s="325" t="s">
        <v>42</v>
      </c>
      <c r="U55" s="326">
        <v>120</v>
      </c>
      <c r="V55" s="326"/>
      <c r="W55" s="326">
        <v>30</v>
      </c>
    </row>
    <row r="56" spans="3:23" x14ac:dyDescent="0.3">
      <c r="C56" s="66"/>
      <c r="Q56" s="325" t="str">
        <f t="shared" si="1"/>
        <v>libreREGIONAL 2</v>
      </c>
      <c r="R56" s="326" t="s">
        <v>48</v>
      </c>
      <c r="S56" s="327">
        <v>6</v>
      </c>
      <c r="T56" s="325" t="s">
        <v>43</v>
      </c>
      <c r="U56" s="326">
        <v>80</v>
      </c>
      <c r="V56" s="326"/>
      <c r="W56" s="326">
        <v>40</v>
      </c>
    </row>
    <row r="57" spans="3:23" x14ac:dyDescent="0.3">
      <c r="C57" s="80"/>
      <c r="D57" s="80"/>
      <c r="Q57" s="325" t="str">
        <f t="shared" si="1"/>
        <v>libreREGIONAL 3</v>
      </c>
      <c r="R57" s="326" t="s">
        <v>48</v>
      </c>
      <c r="S57" s="327">
        <v>7</v>
      </c>
      <c r="T57" s="325" t="s">
        <v>44</v>
      </c>
      <c r="U57" s="326">
        <v>60</v>
      </c>
      <c r="V57" s="326"/>
      <c r="W57" s="326">
        <v>50</v>
      </c>
    </row>
    <row r="58" spans="3:23" x14ac:dyDescent="0.3">
      <c r="Q58" s="325" t="str">
        <f t="shared" si="1"/>
        <v>libreREGIONAL 4</v>
      </c>
      <c r="R58" s="326" t="s">
        <v>48</v>
      </c>
      <c r="S58" s="327">
        <v>8</v>
      </c>
      <c r="T58" s="325" t="s">
        <v>45</v>
      </c>
      <c r="U58" s="326">
        <v>40</v>
      </c>
      <c r="V58" s="326"/>
      <c r="W58" s="326">
        <v>20</v>
      </c>
    </row>
    <row r="59" spans="3:23" x14ac:dyDescent="0.3">
      <c r="Q59" s="325" t="str">
        <f t="shared" si="1"/>
        <v xml:space="preserve">libreJUNIORS Régionaux </v>
      </c>
      <c r="R59" s="326" t="s">
        <v>48</v>
      </c>
      <c r="S59" s="327">
        <v>9</v>
      </c>
      <c r="T59" s="326" t="s">
        <v>46</v>
      </c>
      <c r="U59" s="326">
        <v>120</v>
      </c>
      <c r="V59" s="326">
        <v>100</v>
      </c>
      <c r="W59" s="326">
        <v>30</v>
      </c>
    </row>
    <row r="60" spans="3:23" x14ac:dyDescent="0.3">
      <c r="Q60" s="325" t="str">
        <f t="shared" si="1"/>
        <v>libreCADETS (U17)</v>
      </c>
      <c r="R60" s="326" t="s">
        <v>48</v>
      </c>
      <c r="S60" s="327">
        <v>10</v>
      </c>
      <c r="T60" s="326" t="s">
        <v>344</v>
      </c>
      <c r="U60" s="326">
        <v>200</v>
      </c>
      <c r="V60" s="326">
        <v>150</v>
      </c>
      <c r="W60" s="326">
        <v>20</v>
      </c>
    </row>
    <row r="61" spans="3:23" x14ac:dyDescent="0.3">
      <c r="Q61" s="325" t="str">
        <f t="shared" si="1"/>
        <v>libreCADETS Régionaux</v>
      </c>
      <c r="R61" s="326" t="s">
        <v>48</v>
      </c>
      <c r="S61" s="327">
        <v>11</v>
      </c>
      <c r="T61" s="326" t="s">
        <v>346</v>
      </c>
      <c r="U61" s="326">
        <v>50</v>
      </c>
      <c r="V61" s="326">
        <v>40</v>
      </c>
      <c r="W61" s="326">
        <v>40</v>
      </c>
    </row>
    <row r="62" spans="3:23" x14ac:dyDescent="0.3">
      <c r="Q62" s="325" t="str">
        <f t="shared" si="1"/>
        <v>libreMINIMES</v>
      </c>
      <c r="R62" s="326" t="s">
        <v>48</v>
      </c>
      <c r="S62" s="327">
        <v>12</v>
      </c>
      <c r="T62" s="325" t="s">
        <v>345</v>
      </c>
      <c r="U62" s="326">
        <v>50</v>
      </c>
      <c r="V62" s="326">
        <v>40</v>
      </c>
      <c r="W62" s="326">
        <v>40</v>
      </c>
    </row>
    <row r="63" spans="3:23" x14ac:dyDescent="0.3">
      <c r="Q63" s="325" t="str">
        <f t="shared" si="1"/>
        <v>libre4 BILLES</v>
      </c>
      <c r="R63" s="326" t="s">
        <v>48</v>
      </c>
      <c r="S63" s="327">
        <v>13</v>
      </c>
      <c r="T63" s="326" t="s">
        <v>47</v>
      </c>
      <c r="U63" s="326">
        <v>50</v>
      </c>
      <c r="V63" s="326">
        <v>40</v>
      </c>
      <c r="W63" s="326">
        <v>40</v>
      </c>
    </row>
    <row r="64" spans="3:23" x14ac:dyDescent="0.3">
      <c r="Q64" s="325" t="str">
        <f t="shared" si="1"/>
        <v>libreDAME NATIONAL</v>
      </c>
      <c r="R64" s="326" t="s">
        <v>48</v>
      </c>
      <c r="S64" s="327">
        <v>14</v>
      </c>
      <c r="T64" s="325" t="s">
        <v>347</v>
      </c>
      <c r="U64" s="326">
        <v>150</v>
      </c>
      <c r="V64" s="326">
        <v>120</v>
      </c>
      <c r="W64" s="326">
        <v>30</v>
      </c>
    </row>
    <row r="65" spans="17:23" x14ac:dyDescent="0.3">
      <c r="Q65" s="325" t="str">
        <f t="shared" si="1"/>
        <v>libreDAME REGIONAL</v>
      </c>
      <c r="R65" s="326" t="s">
        <v>48</v>
      </c>
      <c r="S65" s="327">
        <v>15</v>
      </c>
      <c r="T65" s="325" t="s">
        <v>348</v>
      </c>
      <c r="U65" s="326">
        <v>50</v>
      </c>
      <c r="V65" s="326">
        <v>40</v>
      </c>
      <c r="W65" s="326">
        <v>50</v>
      </c>
    </row>
    <row r="66" spans="17:23" x14ac:dyDescent="0.3">
      <c r="Q66" s="325" t="str">
        <f t="shared" si="1"/>
        <v>bandeMasters</v>
      </c>
      <c r="R66" s="326" t="s">
        <v>49</v>
      </c>
      <c r="S66" s="327">
        <v>16</v>
      </c>
      <c r="T66" s="325" t="s">
        <v>341</v>
      </c>
      <c r="U66" s="326">
        <v>120</v>
      </c>
      <c r="V66" s="326">
        <v>100</v>
      </c>
      <c r="W66" s="326">
        <v>40</v>
      </c>
    </row>
    <row r="67" spans="17:23" x14ac:dyDescent="0.3">
      <c r="Q67" s="325" t="str">
        <f t="shared" si="1"/>
        <v>bandeNATIONAL 1</v>
      </c>
      <c r="R67" s="326" t="s">
        <v>49</v>
      </c>
      <c r="S67" s="327">
        <v>17</v>
      </c>
      <c r="T67" s="325" t="s">
        <v>39</v>
      </c>
      <c r="U67" s="326">
        <v>100</v>
      </c>
      <c r="V67" s="326">
        <v>80</v>
      </c>
      <c r="W67" s="326">
        <v>40</v>
      </c>
    </row>
    <row r="68" spans="17:23" x14ac:dyDescent="0.3">
      <c r="Q68" s="325" t="str">
        <f t="shared" si="1"/>
        <v>bandeNATIONAL 2</v>
      </c>
      <c r="R68" s="326" t="s">
        <v>49</v>
      </c>
      <c r="S68" s="327">
        <v>18</v>
      </c>
      <c r="T68" s="325" t="s">
        <v>40</v>
      </c>
      <c r="U68" s="326">
        <v>80</v>
      </c>
      <c r="V68" s="326">
        <v>60</v>
      </c>
      <c r="W68" s="326">
        <v>40</v>
      </c>
    </row>
    <row r="69" spans="17:23" x14ac:dyDescent="0.3">
      <c r="Q69" s="325" t="str">
        <f t="shared" si="1"/>
        <v>bandeNATIONAL 3</v>
      </c>
      <c r="R69" s="326" t="s">
        <v>49</v>
      </c>
      <c r="S69" s="327">
        <v>18</v>
      </c>
      <c r="T69" s="325" t="s">
        <v>41</v>
      </c>
      <c r="U69" s="326">
        <v>60</v>
      </c>
      <c r="V69" s="326">
        <v>60</v>
      </c>
      <c r="W69" s="326">
        <v>40</v>
      </c>
    </row>
    <row r="70" spans="17:23" x14ac:dyDescent="0.3">
      <c r="Q70" s="325" t="str">
        <f t="shared" si="1"/>
        <v>bandeREGIONAL 1</v>
      </c>
      <c r="R70" s="326" t="s">
        <v>49</v>
      </c>
      <c r="S70" s="327">
        <v>19</v>
      </c>
      <c r="T70" s="325" t="s">
        <v>42</v>
      </c>
      <c r="U70" s="326">
        <v>50</v>
      </c>
      <c r="V70" s="326">
        <v>50</v>
      </c>
      <c r="W70" s="326">
        <v>40</v>
      </c>
    </row>
    <row r="71" spans="17:23" x14ac:dyDescent="0.3">
      <c r="Q71" s="325" t="str">
        <f t="shared" si="1"/>
        <v>bandeREGIONAL 2</v>
      </c>
      <c r="R71" s="326" t="s">
        <v>49</v>
      </c>
      <c r="S71" s="327">
        <v>20</v>
      </c>
      <c r="T71" s="325" t="s">
        <v>43</v>
      </c>
      <c r="U71" s="326">
        <v>30</v>
      </c>
      <c r="V71" s="326">
        <v>30</v>
      </c>
      <c r="W71" s="326">
        <v>50</v>
      </c>
    </row>
    <row r="72" spans="17:23" x14ac:dyDescent="0.3">
      <c r="Q72" s="325" t="str">
        <f t="shared" si="1"/>
        <v>cadreMasters</v>
      </c>
      <c r="R72" s="326" t="s">
        <v>50</v>
      </c>
      <c r="S72" s="327">
        <v>21</v>
      </c>
      <c r="T72" s="325" t="s">
        <v>341</v>
      </c>
      <c r="U72" s="326">
        <v>250</v>
      </c>
      <c r="V72" s="326"/>
      <c r="W72" s="326">
        <v>20</v>
      </c>
    </row>
    <row r="73" spans="17:23" x14ac:dyDescent="0.3">
      <c r="Q73" s="325" t="str">
        <f t="shared" si="1"/>
        <v>cadreNATIONAL 1</v>
      </c>
      <c r="R73" s="326" t="s">
        <v>50</v>
      </c>
      <c r="S73" s="327">
        <v>22</v>
      </c>
      <c r="T73" s="325" t="s">
        <v>39</v>
      </c>
      <c r="U73" s="326">
        <v>200</v>
      </c>
      <c r="V73" s="326"/>
      <c r="W73" s="326">
        <v>20</v>
      </c>
    </row>
    <row r="74" spans="17:23" x14ac:dyDescent="0.3">
      <c r="Q74" s="325" t="str">
        <f t="shared" si="1"/>
        <v>cadreNATIONAL 2</v>
      </c>
      <c r="R74" s="326" t="s">
        <v>50</v>
      </c>
      <c r="S74" s="327">
        <v>23</v>
      </c>
      <c r="T74" s="325" t="s">
        <v>40</v>
      </c>
      <c r="U74" s="326">
        <v>120</v>
      </c>
      <c r="V74" s="326"/>
      <c r="W74" s="326">
        <v>20</v>
      </c>
    </row>
    <row r="75" spans="17:23" x14ac:dyDescent="0.3">
      <c r="Q75" s="325" t="str">
        <f t="shared" si="1"/>
        <v>cadreNATIONAL 3</v>
      </c>
      <c r="R75" s="326" t="s">
        <v>50</v>
      </c>
      <c r="S75" s="327">
        <v>25</v>
      </c>
      <c r="T75" s="325" t="s">
        <v>41</v>
      </c>
      <c r="U75" s="326">
        <v>120</v>
      </c>
      <c r="V75" s="326"/>
      <c r="W75" s="326">
        <v>30</v>
      </c>
    </row>
    <row r="76" spans="17:23" x14ac:dyDescent="0.3">
      <c r="Q76" s="325" t="str">
        <f t="shared" si="1"/>
        <v>cadreREGIONAL 1</v>
      </c>
      <c r="R76" s="326" t="s">
        <v>50</v>
      </c>
      <c r="S76" s="327">
        <v>26</v>
      </c>
      <c r="T76" s="325" t="s">
        <v>42</v>
      </c>
      <c r="U76" s="326">
        <v>80</v>
      </c>
      <c r="V76" s="326"/>
      <c r="W76" s="326">
        <v>30</v>
      </c>
    </row>
    <row r="77" spans="17:23" x14ac:dyDescent="0.3">
      <c r="Q77" s="325" t="str">
        <f t="shared" si="1"/>
        <v>3 bandesMasters</v>
      </c>
      <c r="R77" s="326" t="s">
        <v>51</v>
      </c>
      <c r="S77" s="327">
        <v>27</v>
      </c>
      <c r="T77" s="325" t="s">
        <v>341</v>
      </c>
      <c r="U77" s="326">
        <v>40</v>
      </c>
      <c r="V77" s="326"/>
      <c r="W77" s="326">
        <v>50</v>
      </c>
    </row>
    <row r="78" spans="17:23" x14ac:dyDescent="0.3">
      <c r="Q78" s="325" t="str">
        <f t="shared" si="1"/>
        <v>3 bandesNATIONAL 1</v>
      </c>
      <c r="R78" s="326" t="s">
        <v>51</v>
      </c>
      <c r="S78" s="327">
        <v>28</v>
      </c>
      <c r="T78" s="325" t="s">
        <v>39</v>
      </c>
      <c r="U78" s="326">
        <v>35</v>
      </c>
      <c r="V78" s="326"/>
      <c r="W78" s="326">
        <v>50</v>
      </c>
    </row>
    <row r="79" spans="17:23" x14ac:dyDescent="0.3">
      <c r="Q79" s="325" t="str">
        <f t="shared" si="1"/>
        <v>3 bandesNATIONAL 2</v>
      </c>
      <c r="R79" s="326" t="s">
        <v>51</v>
      </c>
      <c r="S79" s="327">
        <v>29</v>
      </c>
      <c r="T79" s="325" t="s">
        <v>40</v>
      </c>
      <c r="U79" s="326">
        <v>30</v>
      </c>
      <c r="V79" s="326"/>
      <c r="W79" s="326">
        <v>50</v>
      </c>
    </row>
    <row r="80" spans="17:23" x14ac:dyDescent="0.3">
      <c r="Q80" s="325" t="str">
        <f t="shared" si="1"/>
        <v>3 bandesNATIONAL 3</v>
      </c>
      <c r="R80" s="326" t="s">
        <v>51</v>
      </c>
      <c r="S80" s="327">
        <v>30</v>
      </c>
      <c r="T80" s="325" t="s">
        <v>41</v>
      </c>
      <c r="U80" s="326">
        <v>25</v>
      </c>
      <c r="V80" s="326"/>
      <c r="W80" s="326">
        <v>60</v>
      </c>
    </row>
    <row r="81" spans="17:23" x14ac:dyDescent="0.3">
      <c r="Q81" s="325" t="str">
        <f t="shared" si="1"/>
        <v>3 bandesDAME NATIONAL</v>
      </c>
      <c r="R81" s="326" t="s">
        <v>51</v>
      </c>
      <c r="S81" s="327">
        <v>31</v>
      </c>
      <c r="T81" s="326" t="s">
        <v>347</v>
      </c>
      <c r="U81" s="326">
        <v>25</v>
      </c>
      <c r="V81" s="326"/>
      <c r="W81" s="326">
        <v>60</v>
      </c>
    </row>
    <row r="82" spans="17:23" x14ac:dyDescent="0.3">
      <c r="Q82" s="325" t="str">
        <f t="shared" si="1"/>
        <v>3 bandesDAME REGIONAL</v>
      </c>
      <c r="R82" s="326" t="s">
        <v>51</v>
      </c>
      <c r="S82" s="327">
        <v>32</v>
      </c>
      <c r="T82" s="326" t="s">
        <v>348</v>
      </c>
      <c r="U82" s="326">
        <v>20</v>
      </c>
      <c r="V82" s="326"/>
      <c r="W82" s="326">
        <v>60</v>
      </c>
    </row>
    <row r="83" spans="17:23" x14ac:dyDescent="0.3">
      <c r="Q83" s="325" t="str">
        <f t="shared" si="1"/>
        <v>3 bandesCADETS Régionaux</v>
      </c>
      <c r="R83" s="326" t="s">
        <v>51</v>
      </c>
      <c r="S83" s="327">
        <v>33</v>
      </c>
      <c r="T83" s="326" t="s">
        <v>346</v>
      </c>
      <c r="U83" s="326">
        <v>20</v>
      </c>
      <c r="V83" s="326"/>
      <c r="W83" s="326">
        <v>60</v>
      </c>
    </row>
    <row r="84" spans="17:23" x14ac:dyDescent="0.3">
      <c r="Q84" s="325" t="str">
        <f t="shared" si="1"/>
        <v xml:space="preserve">3 bandesJUNIORS Régionaux </v>
      </c>
      <c r="R84" s="326" t="s">
        <v>51</v>
      </c>
      <c r="S84" s="327">
        <v>34</v>
      </c>
      <c r="T84" s="326" t="s">
        <v>46</v>
      </c>
      <c r="U84" s="326">
        <v>25</v>
      </c>
      <c r="V84" s="326"/>
      <c r="W84" s="326">
        <v>60</v>
      </c>
    </row>
    <row r="85" spans="17:23" x14ac:dyDescent="0.3">
      <c r="Q85" s="325" t="str">
        <f t="shared" si="1"/>
        <v>3 bandesJUNIORS (U21)</v>
      </c>
      <c r="R85" s="326" t="s">
        <v>51</v>
      </c>
      <c r="S85" s="327">
        <v>35</v>
      </c>
      <c r="T85" s="326" t="s">
        <v>343</v>
      </c>
      <c r="U85" s="326">
        <v>30</v>
      </c>
      <c r="V85" s="326"/>
      <c r="W85" s="326">
        <v>50</v>
      </c>
    </row>
    <row r="86" spans="17:23" x14ac:dyDescent="0.3">
      <c r="Q86" s="325" t="str">
        <f t="shared" si="1"/>
        <v>3 bandesCADETS (U17)</v>
      </c>
      <c r="R86" s="326" t="s">
        <v>51</v>
      </c>
      <c r="S86" s="327">
        <v>36</v>
      </c>
      <c r="T86" s="326" t="s">
        <v>344</v>
      </c>
      <c r="U86" s="326">
        <v>25</v>
      </c>
      <c r="V86" s="326"/>
      <c r="W86" s="326">
        <v>50</v>
      </c>
    </row>
    <row r="87" spans="17:23" x14ac:dyDescent="0.3">
      <c r="Q87" s="325" t="str">
        <f t="shared" si="1"/>
        <v>3 bandesREGIONAL 1</v>
      </c>
      <c r="R87" s="326" t="s">
        <v>51</v>
      </c>
      <c r="S87" s="327">
        <v>37</v>
      </c>
      <c r="T87" s="325" t="s">
        <v>42</v>
      </c>
      <c r="U87" s="326">
        <v>20</v>
      </c>
      <c r="V87" s="326"/>
      <c r="W87" s="326">
        <v>60</v>
      </c>
    </row>
    <row r="88" spans="17:23" x14ac:dyDescent="0.3">
      <c r="Q88" s="325" t="str">
        <f t="shared" si="1"/>
        <v>3 bandesREGIONAL 2</v>
      </c>
      <c r="R88" s="326" t="s">
        <v>51</v>
      </c>
      <c r="S88" s="327">
        <v>38</v>
      </c>
      <c r="T88" s="325" t="s">
        <v>43</v>
      </c>
      <c r="U88" s="326">
        <v>15</v>
      </c>
      <c r="V88" s="326"/>
      <c r="W88" s="326">
        <v>60</v>
      </c>
    </row>
    <row r="89" spans="17:23" x14ac:dyDescent="0.3">
      <c r="U89" s="14"/>
      <c r="V89" s="14"/>
    </row>
    <row r="90" spans="17:23" x14ac:dyDescent="0.3">
      <c r="U90" s="14"/>
      <c r="V90" s="14"/>
    </row>
    <row r="91" spans="17:23" x14ac:dyDescent="0.3">
      <c r="U91" s="14"/>
      <c r="V91" s="14"/>
    </row>
    <row r="92" spans="17:23" x14ac:dyDescent="0.3">
      <c r="U92" s="14"/>
      <c r="V92" s="14"/>
    </row>
  </sheetData>
  <sheetProtection selectLockedCells="1"/>
  <sortState xmlns:xlrd2="http://schemas.microsoft.com/office/spreadsheetml/2017/richdata2" ref="Q7:Q18">
    <sortCondition ref="Q7:Q18"/>
  </sortState>
  <mergeCells count="5">
    <mergeCell ref="B2:C2"/>
    <mergeCell ref="I20:J20"/>
    <mergeCell ref="I16:J16"/>
    <mergeCell ref="A30:H31"/>
    <mergeCell ref="A32:H32"/>
  </mergeCells>
  <phoneticPr fontId="0" type="noConversion"/>
  <conditionalFormatting sqref="B6:B9">
    <cfRule type="expression" dxfId="28" priority="9">
      <formula>ISBLANK(B6)</formula>
    </cfRule>
  </conditionalFormatting>
  <conditionalFormatting sqref="C6:C10">
    <cfRule type="expression" dxfId="27" priority="1">
      <formula>ISBLANK(C6)</formula>
    </cfRule>
  </conditionalFormatting>
  <conditionalFormatting sqref="H3">
    <cfRule type="containsBlanks" dxfId="26" priority="7">
      <formula>LEN(TRIM(H3))=0</formula>
    </cfRule>
  </conditionalFormatting>
  <conditionalFormatting sqref="H5:H9">
    <cfRule type="containsBlanks" dxfId="25" priority="5">
      <formula>LEN(TRIM(H5))=0</formula>
    </cfRule>
  </conditionalFormatting>
  <conditionalFormatting sqref="H13">
    <cfRule type="containsBlanks" dxfId="24" priority="4">
      <formula>LEN(TRIM(H13))=0</formula>
    </cfRule>
  </conditionalFormatting>
  <dataValidations count="7">
    <dataValidation type="list" showInputMessage="1" showErrorMessage="1" sqref="H6" xr:uid="{00000000-0002-0000-0000-000000000000}">
      <formula1>Mode_de_jeu</formula1>
    </dataValidation>
    <dataValidation type="list" allowBlank="1" showInputMessage="1" showErrorMessage="1" sqref="J5:N5" xr:uid="{00000000-0002-0000-0000-000001000000}">
      <formula1>$BT$87:$BT$94</formula1>
    </dataValidation>
    <dataValidation type="list" allowBlank="1" showInputMessage="1" showErrorMessage="1" sqref="H8" xr:uid="{00000000-0002-0000-0000-000002000000}">
      <formula1>Lieu</formula1>
    </dataValidation>
    <dataValidation type="list" allowBlank="1" showInputMessage="1" showErrorMessage="1" sqref="K7 H7" xr:uid="{00000000-0002-0000-0000-000003000000}">
      <formula1>Categories</formula1>
    </dataValidation>
    <dataValidation type="list" allowBlank="1" showErrorMessage="1" promptTitle="Selectionner " sqref="H3" xr:uid="{00000000-0002-0000-0000-000004000000}">
      <formula1>Mécanisme_de_jeu</formula1>
    </dataValidation>
    <dataValidation type="list" allowBlank="1" showInputMessage="1" showErrorMessage="1" sqref="D29:E29" xr:uid="{00000000-0002-0000-0000-000005000000}">
      <formula1>$C$43:$C$46</formula1>
    </dataValidation>
    <dataValidation type="list" allowBlank="1" showInputMessage="1" showErrorMessage="1" sqref="H5" xr:uid="{00000000-0002-0000-0000-000006000000}">
      <formula1>Stade_epreuve</formula1>
    </dataValidation>
  </dataValidations>
  <hyperlinks>
    <hyperlink ref="A32:H32" r:id="rId1" display="https://www.telemat.org/FFBI/sif/" xr:uid="{00000000-0004-0000-0000-000000000000}"/>
  </hyperlinks>
  <pageMargins left="0.78740157480314965" right="0.78740157480314965" top="0.98425196850393704" bottom="0.98425196850393704" header="0.51181102362204722" footer="0.51181102362204722"/>
  <pageSetup paperSize="9" scale="72" orientation="portrait" verticalDpi="200"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X120"/>
  <sheetViews>
    <sheetView topLeftCell="B1" zoomScale="65" zoomScaleNormal="65" workbookViewId="0">
      <selection activeCell="GA15" sqref="GA15"/>
    </sheetView>
  </sheetViews>
  <sheetFormatPr baseColWidth="10" defaultColWidth="11.44140625" defaultRowHeight="15" x14ac:dyDescent="0.3"/>
  <cols>
    <col min="1" max="1" width="8.109375" style="279" hidden="1" customWidth="1"/>
    <col min="2" max="2" width="15.77734375" style="279" customWidth="1"/>
    <col min="3" max="3" width="35.6640625" style="276" customWidth="1"/>
    <col min="4" max="6" width="10.6640625" style="276" customWidth="1"/>
    <col min="7" max="7" width="10.6640625" style="277" customWidth="1"/>
    <col min="8" max="8" width="10.6640625" style="279" customWidth="1"/>
    <col min="9" max="9" width="4.44140625" style="279" hidden="1" customWidth="1"/>
    <col min="10" max="10" width="7.33203125" style="279" hidden="1" customWidth="1"/>
    <col min="11" max="11" width="10.6640625" style="279" customWidth="1"/>
    <col min="12" max="12" width="3.109375" style="279" customWidth="1"/>
    <col min="13" max="13" width="4.44140625" style="279" customWidth="1"/>
    <col min="14" max="14" width="15.77734375" style="279" customWidth="1"/>
    <col min="15" max="15" width="35.6640625" style="279" customWidth="1"/>
    <col min="16" max="19" width="10.6640625" style="279" customWidth="1"/>
    <col min="20" max="20" width="9.5546875" style="279" customWidth="1"/>
    <col min="21" max="21" width="8.109375" style="279" hidden="1" customWidth="1"/>
    <col min="22" max="23" width="10.44140625" style="279" hidden="1" customWidth="1"/>
    <col min="24" max="25" width="10.6640625" style="279" customWidth="1"/>
    <col min="26" max="26" width="11.44140625" style="279" hidden="1" customWidth="1"/>
    <col min="27" max="27" width="20.109375" style="280" hidden="1" customWidth="1"/>
    <col min="28" max="28" width="11.44140625" style="280" hidden="1" customWidth="1"/>
    <col min="29" max="29" width="16.44140625" style="280" hidden="1" customWidth="1"/>
    <col min="30" max="30" width="11.88671875" style="280" hidden="1" customWidth="1"/>
    <col min="31" max="36" width="11.44140625" style="280" hidden="1" customWidth="1"/>
    <col min="37" max="37" width="18.5546875" style="280" hidden="1" customWidth="1"/>
    <col min="38" max="40" width="11.44140625" style="280" hidden="1" customWidth="1"/>
    <col min="41" max="41" width="20.109375" style="280" hidden="1" customWidth="1"/>
    <col min="42" max="97" width="11.44140625" style="280" hidden="1" customWidth="1"/>
    <col min="98" max="98" width="31.21875" style="280" hidden="1" customWidth="1"/>
    <col min="99" max="99" width="11.44140625" style="280" hidden="1" customWidth="1"/>
    <col min="100" max="100" width="20.109375" style="280" hidden="1" customWidth="1"/>
    <col min="101" max="101" width="8.88671875" style="280" hidden="1" customWidth="1"/>
    <col min="102" max="102" width="25.21875" style="280" hidden="1" customWidth="1"/>
    <col min="103" max="118" width="12.5546875" style="280" hidden="1" customWidth="1"/>
    <col min="119" max="134" width="4.44140625" style="280" hidden="1" customWidth="1"/>
    <col min="135" max="135" width="8.109375" style="280" hidden="1" customWidth="1"/>
    <col min="136" max="141" width="4.44140625" style="280" hidden="1" customWidth="1"/>
    <col min="142" max="172" width="11.44140625" style="280" hidden="1" customWidth="1"/>
    <col min="173" max="173" width="11.44140625" style="279" hidden="1" customWidth="1"/>
    <col min="174" max="174" width="30.33203125" style="279" hidden="1" customWidth="1"/>
    <col min="175" max="175" width="11.44140625" style="279" hidden="1" customWidth="1"/>
    <col min="176" max="176" width="14.21875" style="279" hidden="1" customWidth="1"/>
    <col min="177" max="178" width="11.44140625" style="279" hidden="1" customWidth="1"/>
    <col min="179" max="214" width="11.44140625" style="279" customWidth="1"/>
    <col min="215" max="16384" width="11.44140625" style="279"/>
  </cols>
  <sheetData>
    <row r="1" spans="1:180" ht="30" x14ac:dyDescent="0.3">
      <c r="C1" s="348"/>
      <c r="D1" s="348"/>
      <c r="E1" s="348"/>
      <c r="F1" s="348"/>
      <c r="G1" s="348"/>
      <c r="H1" s="348"/>
      <c r="I1" s="348"/>
      <c r="J1" s="348"/>
      <c r="K1" s="348"/>
      <c r="L1" s="211"/>
      <c r="M1" s="211"/>
      <c r="N1" s="211"/>
      <c r="O1" s="348"/>
      <c r="P1" s="348"/>
      <c r="Q1" s="348"/>
      <c r="R1" s="348"/>
      <c r="S1" s="348"/>
      <c r="T1" s="348"/>
      <c r="U1" s="348"/>
      <c r="V1" s="348"/>
      <c r="W1" s="348"/>
      <c r="X1" s="348"/>
      <c r="AA1" s="280">
        <v>4.92</v>
      </c>
      <c r="EY1" s="347" t="s">
        <v>52</v>
      </c>
      <c r="EZ1" s="347"/>
      <c r="FA1" s="347"/>
      <c r="FB1" s="347"/>
      <c r="FC1" s="347"/>
      <c r="FD1" s="347"/>
      <c r="FE1" s="347"/>
      <c r="FF1" s="347"/>
      <c r="FG1" s="347"/>
      <c r="FH1" s="347"/>
      <c r="FI1" s="347"/>
      <c r="FJ1" s="347"/>
      <c r="FK1" s="347"/>
      <c r="FL1" s="347"/>
      <c r="FM1" s="347"/>
      <c r="FN1" s="347"/>
      <c r="FO1" s="347"/>
      <c r="FP1" s="347"/>
      <c r="FR1" s="280" t="s">
        <v>53</v>
      </c>
      <c r="FS1" s="279" t="s">
        <v>54</v>
      </c>
    </row>
    <row r="2" spans="1:180" ht="18" thickBot="1" x14ac:dyDescent="0.35">
      <c r="AA2" s="197"/>
      <c r="AB2" s="198">
        <f>HLOOKUP(A$3,$EY$2:$FP$18,2,FALSE)</f>
        <v>1</v>
      </c>
      <c r="AC2" s="199" t="str">
        <f>VLOOKUP($AB2,Tirage!$A$6:$B$24,2,FALSE)</f>
        <v>HENWOOD PHILIPPE</v>
      </c>
      <c r="AD2" s="199" t="s">
        <v>55</v>
      </c>
      <c r="AE2" s="199"/>
      <c r="AF2" s="198">
        <f>HLOOKUP(A$3,$EY$2:$FP$18,3,FALSE)</f>
        <v>2</v>
      </c>
      <c r="AG2" s="199" t="str">
        <f>VLOOKUP(AF$2,Tirage!$A$6:$B$24,2,FALSE)</f>
        <v>CASTANER GEORGES</v>
      </c>
      <c r="AH2" s="199"/>
      <c r="AI2" s="199"/>
      <c r="AJ2" s="198">
        <f>HLOOKUP($A$3,$EY$2:$FP$18,4,FALSE)</f>
        <v>3</v>
      </c>
      <c r="AK2" s="199" t="str">
        <f>VLOOKUP(AJ$2,Tirage!$A$6:$B$24,2,FALSE)</f>
        <v>CREDOT GERALD</v>
      </c>
      <c r="AL2" s="199"/>
      <c r="AM2" s="199"/>
      <c r="AN2" s="198">
        <f>HLOOKUP($A$3,$EY$2:$FP$18,5,FALSE)</f>
        <v>4</v>
      </c>
      <c r="AO2" s="199" t="str">
        <f>VLOOKUP(AN$2,Tirage!$A$6:$B$24,2,FALSE)</f>
        <v>BLANCHARD THIERRY</v>
      </c>
      <c r="AP2" s="199"/>
      <c r="AQ2" s="199"/>
      <c r="AR2" s="198">
        <f>HLOOKUP($A$3,$EY$2:$FP$18,6,FALSE)</f>
        <v>5</v>
      </c>
      <c r="AS2" s="199" t="str">
        <f>VLOOKUP(AR$2,Tirage!$A$6:$B$24,2,FALSE)</f>
        <v>LACHOQUE DANIEL</v>
      </c>
      <c r="AT2" s="199"/>
      <c r="AU2" s="199"/>
      <c r="AV2" s="198">
        <f>HLOOKUP($A$3,$EY$2:$FP$18,7,FALSE)</f>
        <v>0</v>
      </c>
      <c r="AW2" s="199" t="e">
        <f>VLOOKUP(AV$2,Tirage!$A$6:$B$24,2,FALSE)</f>
        <v>#N/A</v>
      </c>
      <c r="AX2" s="199"/>
      <c r="AY2" s="199"/>
      <c r="AZ2" s="198">
        <f>HLOOKUP($A$3,$EY$2:$FP$18,8,FALSE)</f>
        <v>0</v>
      </c>
      <c r="BA2" s="199" t="e">
        <f>VLOOKUP(AZ$2,Tirage!$A$6:$B$24,2,FALSE)</f>
        <v>#N/A</v>
      </c>
      <c r="BB2" s="199"/>
      <c r="BC2" s="199"/>
      <c r="BD2" s="198">
        <f>HLOOKUP($A$3,$EY$2:$FP$18,9,FALSE)</f>
        <v>0</v>
      </c>
      <c r="BE2" s="199" t="e">
        <f>VLOOKUP(BD$2,Tirage!$A$6:$B$24,2,FALSE)</f>
        <v>#N/A</v>
      </c>
      <c r="BF2" s="199"/>
      <c r="BG2" s="199"/>
      <c r="BH2" s="198">
        <f>HLOOKUP($A$3,$EY$2:$FP$18,10,FALSE)</f>
        <v>0</v>
      </c>
      <c r="BI2" s="199" t="e">
        <f>VLOOKUP(BH$2,Tirage!$A$6:$B$24,2,FALSE)</f>
        <v>#N/A</v>
      </c>
      <c r="BJ2" s="199"/>
      <c r="BK2" s="199"/>
      <c r="BL2" s="198">
        <f>HLOOKUP($A$3,$EY$2:$FP$18,11,FALSE)</f>
        <v>0</v>
      </c>
      <c r="BM2" s="199" t="e">
        <f>VLOOKUP(BL$2,Tirage!$A$6:$B$24,2,FALSE)</f>
        <v>#N/A</v>
      </c>
      <c r="BN2" s="200"/>
      <c r="BO2" s="201"/>
      <c r="BP2" s="198">
        <f>HLOOKUP($A$3,$EY$2:$FP$18,12,FALSE)</f>
        <v>0</v>
      </c>
      <c r="BQ2" s="199" t="e">
        <f>VLOOKUP(BP$2,Tirage!$A$6:$B$24,2,FALSE)</f>
        <v>#N/A</v>
      </c>
      <c r="BR2" s="200"/>
      <c r="BS2" s="201"/>
      <c r="BT2" s="198">
        <f>HLOOKUP($A$3,$EY$2:$FP$18,13,FALSE)</f>
        <v>0</v>
      </c>
      <c r="BU2" s="199" t="e">
        <f>VLOOKUP(BT$2,Tirage!$A$6:$B$24,2,FALSE)</f>
        <v>#N/A</v>
      </c>
      <c r="BV2" s="199"/>
      <c r="BW2" s="199"/>
      <c r="BX2" s="198">
        <f>HLOOKUP($A$3,$EY$2:$FP$18,14,FALSE)</f>
        <v>0</v>
      </c>
      <c r="BY2" s="199" t="e">
        <f>VLOOKUP(BX$2,Tirage!$A$6:$B$24,2,FALSE)</f>
        <v>#N/A</v>
      </c>
      <c r="BZ2" s="200"/>
      <c r="CA2" s="201"/>
      <c r="CB2" s="198">
        <f>HLOOKUP($A$3,$EY$2:$FP$18,15,FALSE)</f>
        <v>0</v>
      </c>
      <c r="CC2" s="199" t="e">
        <f>VLOOKUP(CB$2,Tirage!$A$6:$B$24,2,FALSE)</f>
        <v>#N/A</v>
      </c>
      <c r="CD2" s="200"/>
      <c r="CE2" s="201"/>
      <c r="CF2" s="198">
        <f>HLOOKUP($A$3,$EY$2:$FP$18,16,FALSE)</f>
        <v>0</v>
      </c>
      <c r="CG2" s="199" t="e">
        <f>VLOOKUP(CF$2,Tirage!$A$6:$B$24,2,FALSE)</f>
        <v>#N/A</v>
      </c>
      <c r="CH2" s="200"/>
      <c r="CI2" s="201"/>
      <c r="CJ2" s="198">
        <f>HLOOKUP($A$3,$EY$2:$FP$18,17,FALSE)</f>
        <v>0</v>
      </c>
      <c r="CK2" s="199" t="e">
        <f>VLOOKUP(CJ$2,Tirage!$A$6:$B$24,2,FALSE)</f>
        <v>#N/A</v>
      </c>
      <c r="CL2" s="200"/>
      <c r="CM2" s="201"/>
      <c r="CN2" s="198"/>
      <c r="CO2" s="199"/>
      <c r="CP2" s="200"/>
      <c r="CQ2" s="201"/>
      <c r="CY2" s="199">
        <v>2</v>
      </c>
      <c r="CZ2" s="199" t="s">
        <v>16</v>
      </c>
      <c r="DA2" s="199">
        <v>3</v>
      </c>
      <c r="DB2" s="199" t="s">
        <v>9</v>
      </c>
      <c r="DC2" s="212">
        <v>0</v>
      </c>
      <c r="DD2" s="199"/>
      <c r="DE2" s="199" t="s">
        <v>56</v>
      </c>
      <c r="DF2" s="199" t="s">
        <v>17</v>
      </c>
      <c r="DG2" s="199">
        <v>4</v>
      </c>
      <c r="DH2" s="280" t="s">
        <v>10</v>
      </c>
      <c r="DI2" s="199">
        <v>4.5</v>
      </c>
      <c r="DJ2" s="199" t="s">
        <v>18</v>
      </c>
      <c r="DK2" s="199">
        <v>5</v>
      </c>
      <c r="DL2" s="199" t="s">
        <v>21</v>
      </c>
      <c r="DM2" s="199">
        <v>6</v>
      </c>
      <c r="DN2" s="199" t="s">
        <v>24</v>
      </c>
      <c r="DO2" s="199"/>
      <c r="DP2" s="199">
        <v>2</v>
      </c>
      <c r="DQ2" s="199" t="s">
        <v>16</v>
      </c>
      <c r="DR2" s="199">
        <v>3</v>
      </c>
      <c r="DS2" s="199" t="s">
        <v>9</v>
      </c>
      <c r="DT2" s="199">
        <v>0</v>
      </c>
      <c r="DU2" s="199"/>
      <c r="DV2" s="199" t="s">
        <v>56</v>
      </c>
      <c r="DW2" s="199" t="s">
        <v>17</v>
      </c>
      <c r="DX2" s="199">
        <v>4</v>
      </c>
      <c r="DY2" s="280" t="s">
        <v>10</v>
      </c>
      <c r="DZ2" s="199">
        <v>4.5</v>
      </c>
      <c r="EA2" s="199" t="s">
        <v>18</v>
      </c>
      <c r="EB2" s="199">
        <v>5</v>
      </c>
      <c r="EC2" s="199" t="s">
        <v>21</v>
      </c>
      <c r="ED2" s="199">
        <v>6</v>
      </c>
      <c r="EE2" s="199" t="s">
        <v>24</v>
      </c>
      <c r="EF2" s="199"/>
      <c r="EG2" s="199"/>
      <c r="EH2" s="199"/>
      <c r="EI2" s="199"/>
      <c r="EJ2" s="199"/>
      <c r="EK2" s="199"/>
      <c r="EM2" s="199">
        <v>1</v>
      </c>
      <c r="EN2" s="199"/>
      <c r="EO2" s="199"/>
      <c r="EP2" s="199"/>
      <c r="EQ2" s="199"/>
      <c r="ER2" s="199"/>
      <c r="ES2" s="199"/>
      <c r="ET2" s="199"/>
      <c r="EU2" s="199"/>
      <c r="EV2" s="199"/>
      <c r="EW2" s="199"/>
      <c r="EX2" s="199"/>
      <c r="EY2" s="199">
        <v>2</v>
      </c>
      <c r="EZ2" s="199" t="s">
        <v>16</v>
      </c>
      <c r="FA2" s="199">
        <v>3</v>
      </c>
      <c r="FB2" s="199" t="s">
        <v>9</v>
      </c>
      <c r="FC2" s="199" t="s">
        <v>57</v>
      </c>
      <c r="FD2" s="199" t="s">
        <v>58</v>
      </c>
      <c r="FE2" s="199" t="s">
        <v>56</v>
      </c>
      <c r="FF2" s="199" t="s">
        <v>17</v>
      </c>
      <c r="FG2" s="199">
        <v>4</v>
      </c>
      <c r="FH2" s="280" t="s">
        <v>10</v>
      </c>
      <c r="FI2" s="199">
        <v>4.5</v>
      </c>
      <c r="FJ2" s="199" t="s">
        <v>18</v>
      </c>
      <c r="FK2" s="199">
        <v>5</v>
      </c>
      <c r="FL2" s="199" t="s">
        <v>21</v>
      </c>
      <c r="FM2" s="199">
        <v>6</v>
      </c>
      <c r="FN2" s="199" t="s">
        <v>24</v>
      </c>
      <c r="FO2" s="199"/>
      <c r="FP2" s="199"/>
      <c r="FQ2" s="280"/>
      <c r="FR2" s="280"/>
      <c r="FS2" s="281">
        <v>3</v>
      </c>
      <c r="FT2" s="280" t="s">
        <v>9</v>
      </c>
      <c r="FU2" s="280" t="s">
        <v>24</v>
      </c>
      <c r="FV2" s="280"/>
      <c r="FW2" s="280"/>
      <c r="FX2" s="282"/>
    </row>
    <row r="3" spans="1:180" ht="27.75" customHeight="1" x14ac:dyDescent="0.3">
      <c r="A3" s="283" t="str">
        <f>Tirage!Q5</f>
        <v>5f</v>
      </c>
      <c r="B3" s="283"/>
      <c r="C3" s="341" t="str">
        <f>HLOOKUP($A$3,TourDeJeu,27,FALSE)</f>
        <v>Tour n°1</v>
      </c>
      <c r="D3" s="342"/>
      <c r="E3" s="342"/>
      <c r="F3" s="342"/>
      <c r="G3" s="342"/>
      <c r="H3" s="342"/>
      <c r="I3" s="342"/>
      <c r="J3" s="342"/>
      <c r="K3" s="343"/>
      <c r="L3" s="202"/>
      <c r="M3" s="202"/>
      <c r="N3" s="202"/>
      <c r="O3" s="341" t="str">
        <f>HLOOKUP($A$3,TourDeJeu2,27,FALSE)</f>
        <v>Tour5</v>
      </c>
      <c r="P3" s="342"/>
      <c r="Q3" s="342"/>
      <c r="R3" s="342"/>
      <c r="S3" s="342"/>
      <c r="T3" s="342"/>
      <c r="U3" s="342"/>
      <c r="V3" s="342"/>
      <c r="W3" s="342"/>
      <c r="X3" s="342"/>
      <c r="Y3" s="202"/>
      <c r="AA3" s="197" t="s">
        <v>59</v>
      </c>
      <c r="AB3" s="203" t="e">
        <f>VLOOKUP(AC$2,Poule1,3,FALSE)</f>
        <v>#N/A</v>
      </c>
      <c r="AC3" s="204" t="s">
        <v>59</v>
      </c>
      <c r="AD3" s="204">
        <f t="shared" ref="AD3:AD8" si="0">IF(ISERROR(AB3),0,AB3)</f>
        <v>0</v>
      </c>
      <c r="AE3" s="204"/>
      <c r="AF3" s="203">
        <f>VLOOKUP(AG$2,Poule1,3,FALSE)</f>
        <v>80</v>
      </c>
      <c r="AG3" s="204" t="s">
        <v>59</v>
      </c>
      <c r="AH3" s="204">
        <f t="shared" ref="AH3:AH8" si="1">IF(ISERROR(AF3),0,AF3)</f>
        <v>80</v>
      </c>
      <c r="AI3" s="204"/>
      <c r="AJ3" s="203">
        <f>VLOOKUP(AK$2,Poule1,3,FALSE)</f>
        <v>80</v>
      </c>
      <c r="AK3" s="204" t="s">
        <v>59</v>
      </c>
      <c r="AL3" s="204">
        <f t="shared" ref="AL3:AL8" si="2">IF(ISERROR(AJ3),0,AJ3)</f>
        <v>80</v>
      </c>
      <c r="AM3" s="204"/>
      <c r="AN3" s="203">
        <f>VLOOKUP(AO$2,Poule1,3,FALSE)</f>
        <v>59</v>
      </c>
      <c r="AO3" s="204" t="s">
        <v>59</v>
      </c>
      <c r="AP3" s="204">
        <f t="shared" ref="AP3:AP8" si="3">IF(ISERROR(AN3),0,AN3)</f>
        <v>59</v>
      </c>
      <c r="AQ3" s="204"/>
      <c r="AR3" s="203">
        <f>VLOOKUP(AS$2,Poule1,3,FALSE)</f>
        <v>41</v>
      </c>
      <c r="AS3" s="204" t="s">
        <v>59</v>
      </c>
      <c r="AT3" s="204">
        <f t="shared" ref="AT3:AT8" si="4">IF(ISERROR(AR3),0,AR3)</f>
        <v>41</v>
      </c>
      <c r="AU3" s="204"/>
      <c r="AV3" s="203" t="e">
        <f>VLOOKUP(AW$2,Poule1,3,FALSE)</f>
        <v>#N/A</v>
      </c>
      <c r="AW3" s="204" t="s">
        <v>59</v>
      </c>
      <c r="AX3" s="204">
        <f t="shared" ref="AX3:AX8" si="5">IF(ISERROR(AV3),0,AV3)</f>
        <v>0</v>
      </c>
      <c r="AY3" s="204"/>
      <c r="AZ3" s="205" t="e">
        <f>VLOOKUP(BA$2,Poule1,3,FALSE)</f>
        <v>#N/A</v>
      </c>
      <c r="BA3" s="204" t="s">
        <v>59</v>
      </c>
      <c r="BB3" s="204">
        <f t="shared" ref="BB3:BB8" si="6">IF(ISERROR(AZ3),0,AZ3)</f>
        <v>0</v>
      </c>
      <c r="BC3" s="204"/>
      <c r="BD3" s="205" t="e">
        <f>VLOOKUP(BE$2,Poule1,3,FALSE)</f>
        <v>#N/A</v>
      </c>
      <c r="BE3" s="204" t="s">
        <v>59</v>
      </c>
      <c r="BF3" s="204">
        <f t="shared" ref="BF3:BF8" si="7">IF(ISERROR(BD3),0,BD3)</f>
        <v>0</v>
      </c>
      <c r="BG3" s="204"/>
      <c r="BH3" s="205" t="e">
        <f>VLOOKUP(BI$2,Poule1,3,FALSE)</f>
        <v>#N/A</v>
      </c>
      <c r="BI3" s="204" t="s">
        <v>59</v>
      </c>
      <c r="BJ3" s="204">
        <f t="shared" ref="BJ3:BJ8" si="8">IF(ISERROR(BH3),0,BH3)</f>
        <v>0</v>
      </c>
      <c r="BK3" s="204"/>
      <c r="BL3" s="205" t="e">
        <f>VLOOKUP(BM$2,Poule1,3,FALSE)</f>
        <v>#N/A</v>
      </c>
      <c r="BM3" s="204" t="s">
        <v>59</v>
      </c>
      <c r="BN3" s="204">
        <f t="shared" ref="BN3:BN8" si="9">IF(ISERROR(BL3),0,BL3)</f>
        <v>0</v>
      </c>
      <c r="BO3" s="204"/>
      <c r="BP3" s="205" t="e">
        <f>VLOOKUP(BQ$2,Poule1,3,FALSE)</f>
        <v>#N/A</v>
      </c>
      <c r="BQ3" s="204" t="s">
        <v>59</v>
      </c>
      <c r="BR3" s="204">
        <f t="shared" ref="BR3:BR8" si="10">IF(ISERROR(BP3),0,BP3)</f>
        <v>0</v>
      </c>
      <c r="BS3" s="204"/>
      <c r="BT3" s="205" t="e">
        <f>VLOOKUP(BU$2,Poule1,3,FALSE)</f>
        <v>#N/A</v>
      </c>
      <c r="BU3" s="204" t="s">
        <v>59</v>
      </c>
      <c r="BV3" s="204">
        <f t="shared" ref="BV3:BV8" si="11">IF(ISERROR(BT3),0,BT3)</f>
        <v>0</v>
      </c>
      <c r="BW3" s="204"/>
      <c r="BX3" s="205" t="e">
        <f>VLOOKUP(BY$2,Poule1,3,FALSE)</f>
        <v>#N/A</v>
      </c>
      <c r="BY3" s="204" t="s">
        <v>59</v>
      </c>
      <c r="BZ3" s="204">
        <f t="shared" ref="BZ3:BZ8" si="12">IF(ISERROR(BX3),0,BX3)</f>
        <v>0</v>
      </c>
      <c r="CA3" s="204"/>
      <c r="CB3" s="205" t="e">
        <f>VLOOKUP(CC$2,Poule1,3,FALSE)</f>
        <v>#N/A</v>
      </c>
      <c r="CC3" s="204" t="s">
        <v>59</v>
      </c>
      <c r="CD3" s="204">
        <f t="shared" ref="CD3:CD8" si="13">IF(ISERROR(CB3),0,CB3)</f>
        <v>0</v>
      </c>
      <c r="CE3" s="204"/>
      <c r="CF3" s="205" t="e">
        <f>VLOOKUP(CG$2,Poule1,3,FALSE)</f>
        <v>#N/A</v>
      </c>
      <c r="CG3" s="204" t="s">
        <v>59</v>
      </c>
      <c r="CH3" s="204">
        <f t="shared" ref="CH3:CH8" si="14">IF(ISERROR(CF3),0,CF3)</f>
        <v>0</v>
      </c>
      <c r="CI3" s="204"/>
      <c r="CJ3" s="205" t="e">
        <f>VLOOKUP(CK$2,Poule1,3,FALSE)</f>
        <v>#N/A</v>
      </c>
      <c r="CK3" s="204" t="s">
        <v>59</v>
      </c>
      <c r="CL3" s="204">
        <f t="shared" ref="CL3:CL8" si="15">IF(ISERROR(CJ3),0,CJ3)</f>
        <v>0</v>
      </c>
      <c r="CM3" s="204"/>
      <c r="CN3" s="205"/>
      <c r="CO3" s="204"/>
      <c r="CP3" s="204"/>
      <c r="CQ3" s="206"/>
      <c r="CT3" s="284" t="s">
        <v>60</v>
      </c>
      <c r="CU3" s="1">
        <v>2</v>
      </c>
      <c r="EM3" s="199">
        <v>2</v>
      </c>
      <c r="EN3" s="199"/>
      <c r="EO3" s="199"/>
      <c r="EP3" s="199" t="s">
        <v>61</v>
      </c>
      <c r="EQ3" s="199"/>
      <c r="ER3" s="199"/>
      <c r="ES3" s="199"/>
      <c r="ET3" s="199"/>
      <c r="EU3" s="199"/>
      <c r="EV3" s="199"/>
      <c r="EW3" s="199"/>
      <c r="EX3" s="199"/>
      <c r="EY3" s="285">
        <v>1</v>
      </c>
      <c r="EZ3" s="286">
        <v>1</v>
      </c>
      <c r="FA3" s="286">
        <v>1</v>
      </c>
      <c r="FB3" s="286">
        <v>1</v>
      </c>
      <c r="FC3" s="286"/>
      <c r="FD3" s="286"/>
      <c r="FE3" s="286">
        <v>1</v>
      </c>
      <c r="FF3" s="286">
        <v>1</v>
      </c>
      <c r="FG3" s="286">
        <v>1</v>
      </c>
      <c r="FH3" s="286">
        <v>1</v>
      </c>
      <c r="FI3" s="286">
        <v>1</v>
      </c>
      <c r="FJ3" s="286">
        <v>1</v>
      </c>
      <c r="FK3" s="287">
        <v>1</v>
      </c>
      <c r="FL3" s="287">
        <v>1</v>
      </c>
      <c r="FM3" s="287">
        <v>1</v>
      </c>
      <c r="FN3" s="287">
        <v>1</v>
      </c>
      <c r="FO3" s="287"/>
      <c r="FP3" s="288"/>
      <c r="FQ3" s="280"/>
      <c r="FR3" s="280"/>
      <c r="FS3" s="281">
        <v>1</v>
      </c>
      <c r="FT3" s="280">
        <v>1</v>
      </c>
      <c r="FU3" s="280">
        <v>1</v>
      </c>
      <c r="FV3" s="280"/>
      <c r="FW3" s="280"/>
      <c r="FX3" s="282"/>
    </row>
    <row r="4" spans="1:180" ht="16.5" customHeight="1" x14ac:dyDescent="0.3">
      <c r="AA4" s="197" t="s">
        <v>62</v>
      </c>
      <c r="AB4" s="207">
        <f>VLOOKUP(AC$2,poule2,3,FALSE)</f>
        <v>45</v>
      </c>
      <c r="AC4" s="208" t="s">
        <v>62</v>
      </c>
      <c r="AD4" s="208">
        <f t="shared" si="0"/>
        <v>45</v>
      </c>
      <c r="AE4" s="208"/>
      <c r="AF4" s="207">
        <f>VLOOKUP(AG$2,poule2,3,FALSE)</f>
        <v>48</v>
      </c>
      <c r="AG4" s="208" t="s">
        <v>62</v>
      </c>
      <c r="AH4" s="208">
        <f t="shared" si="1"/>
        <v>48</v>
      </c>
      <c r="AI4" s="208"/>
      <c r="AJ4" s="207">
        <f>VLOOKUP(AK$2,poule2,3,FALSE)</f>
        <v>80</v>
      </c>
      <c r="AK4" s="208" t="s">
        <v>62</v>
      </c>
      <c r="AL4" s="208">
        <f t="shared" si="2"/>
        <v>80</v>
      </c>
      <c r="AM4" s="208"/>
      <c r="AN4" s="207" t="e">
        <f>VLOOKUP(AO$2,poule2,3,FALSE)</f>
        <v>#N/A</v>
      </c>
      <c r="AO4" s="208" t="s">
        <v>62</v>
      </c>
      <c r="AP4" s="208">
        <f t="shared" si="3"/>
        <v>0</v>
      </c>
      <c r="AQ4" s="208"/>
      <c r="AR4" s="207">
        <f>VLOOKUP(AS$2,poule2,3,FALSE)</f>
        <v>80</v>
      </c>
      <c r="AS4" s="208" t="s">
        <v>62</v>
      </c>
      <c r="AT4" s="208">
        <f t="shared" si="4"/>
        <v>80</v>
      </c>
      <c r="AU4" s="208"/>
      <c r="AV4" s="207" t="e">
        <f>VLOOKUP(AW$2,poule2,3,FALSE)</f>
        <v>#N/A</v>
      </c>
      <c r="AW4" s="208" t="s">
        <v>62</v>
      </c>
      <c r="AX4" s="208">
        <f t="shared" si="5"/>
        <v>0</v>
      </c>
      <c r="AY4" s="208"/>
      <c r="AZ4" s="209" t="e">
        <f>VLOOKUP(BA$2,poule2,3,FALSE)</f>
        <v>#N/A</v>
      </c>
      <c r="BA4" s="208" t="s">
        <v>62</v>
      </c>
      <c r="BB4" s="208">
        <f t="shared" si="6"/>
        <v>0</v>
      </c>
      <c r="BC4" s="208"/>
      <c r="BD4" s="209" t="e">
        <f>VLOOKUP(BE$2,poule2,3,FALSE)</f>
        <v>#N/A</v>
      </c>
      <c r="BE4" s="208" t="s">
        <v>62</v>
      </c>
      <c r="BF4" s="208">
        <f t="shared" si="7"/>
        <v>0</v>
      </c>
      <c r="BG4" s="208"/>
      <c r="BH4" s="209" t="e">
        <f>VLOOKUP(BI$2,poule2,3,FALSE)</f>
        <v>#N/A</v>
      </c>
      <c r="BI4" s="208" t="s">
        <v>62</v>
      </c>
      <c r="BJ4" s="208">
        <f t="shared" si="8"/>
        <v>0</v>
      </c>
      <c r="BK4" s="208"/>
      <c r="BL4" s="209" t="e">
        <f>VLOOKUP(BM$2,poule2,3,FALSE)</f>
        <v>#N/A</v>
      </c>
      <c r="BM4" s="208" t="s">
        <v>62</v>
      </c>
      <c r="BN4" s="208">
        <f t="shared" si="9"/>
        <v>0</v>
      </c>
      <c r="BO4" s="208"/>
      <c r="BP4" s="209" t="e">
        <f>VLOOKUP(BQ$2,poule2,3,FALSE)</f>
        <v>#N/A</v>
      </c>
      <c r="BQ4" s="208" t="s">
        <v>62</v>
      </c>
      <c r="BR4" s="208">
        <f t="shared" si="10"/>
        <v>0</v>
      </c>
      <c r="BS4" s="208"/>
      <c r="BT4" s="209" t="e">
        <f>VLOOKUP(BU$2,poule2,3,FALSE)</f>
        <v>#N/A</v>
      </c>
      <c r="BU4" s="208" t="s">
        <v>62</v>
      </c>
      <c r="BV4" s="208">
        <f t="shared" si="11"/>
        <v>0</v>
      </c>
      <c r="BW4" s="208"/>
      <c r="BX4" s="209" t="e">
        <f>VLOOKUP(BY$2,poule2,3,FALSE)</f>
        <v>#N/A</v>
      </c>
      <c r="BY4" s="208" t="s">
        <v>62</v>
      </c>
      <c r="BZ4" s="208">
        <f t="shared" si="12"/>
        <v>0</v>
      </c>
      <c r="CA4" s="208"/>
      <c r="CB4" s="209" t="e">
        <f>VLOOKUP(CC$2,poule2,3,FALSE)</f>
        <v>#N/A</v>
      </c>
      <c r="CC4" s="208" t="s">
        <v>62</v>
      </c>
      <c r="CD4" s="208">
        <f t="shared" si="13"/>
        <v>0</v>
      </c>
      <c r="CE4" s="208"/>
      <c r="CF4" s="209" t="e">
        <f>VLOOKUP(CG$2,poule2,3,FALSE)</f>
        <v>#N/A</v>
      </c>
      <c r="CG4" s="208" t="s">
        <v>62</v>
      </c>
      <c r="CH4" s="208">
        <f t="shared" si="14"/>
        <v>0</v>
      </c>
      <c r="CI4" s="208"/>
      <c r="CJ4" s="209" t="e">
        <f>VLOOKUP(CK$2,poule2,3,FALSE)</f>
        <v>#N/A</v>
      </c>
      <c r="CK4" s="208" t="s">
        <v>62</v>
      </c>
      <c r="CL4" s="208">
        <f t="shared" si="15"/>
        <v>0</v>
      </c>
      <c r="CM4" s="208"/>
      <c r="CN4" s="209"/>
      <c r="CO4" s="208"/>
      <c r="CP4" s="208"/>
      <c r="CQ4" s="210"/>
      <c r="CT4" s="284" t="s">
        <v>63</v>
      </c>
      <c r="CU4" s="1" t="s">
        <v>16</v>
      </c>
      <c r="CX4" s="211"/>
      <c r="EM4" s="199">
        <v>3</v>
      </c>
      <c r="EN4" s="199"/>
      <c r="EO4" s="199"/>
      <c r="EP4" s="199"/>
      <c r="EQ4" s="199" t="s">
        <v>64</v>
      </c>
      <c r="ER4" s="212" t="s">
        <v>65</v>
      </c>
      <c r="ES4" s="199"/>
      <c r="ET4" s="199"/>
      <c r="EU4" s="199"/>
      <c r="EV4" s="199"/>
      <c r="EW4" s="199"/>
      <c r="EX4" s="199"/>
      <c r="EY4" s="289">
        <v>2</v>
      </c>
      <c r="EZ4" s="290">
        <v>2</v>
      </c>
      <c r="FA4" s="290">
        <v>2</v>
      </c>
      <c r="FB4" s="290">
        <v>2</v>
      </c>
      <c r="FC4" s="290"/>
      <c r="FD4" s="290"/>
      <c r="FE4" s="290">
        <v>2</v>
      </c>
      <c r="FF4" s="290">
        <v>2</v>
      </c>
      <c r="FG4" s="290">
        <v>2</v>
      </c>
      <c r="FH4" s="290">
        <v>2</v>
      </c>
      <c r="FI4" s="290">
        <v>2</v>
      </c>
      <c r="FJ4" s="290">
        <v>2</v>
      </c>
      <c r="FK4" s="291">
        <v>2</v>
      </c>
      <c r="FL4" s="291">
        <v>2</v>
      </c>
      <c r="FM4" s="291">
        <v>2</v>
      </c>
      <c r="FN4" s="291">
        <v>2</v>
      </c>
      <c r="FO4" s="291"/>
      <c r="FP4" s="292"/>
      <c r="FQ4" s="280"/>
      <c r="FR4" s="280"/>
      <c r="FS4" s="281">
        <v>2</v>
      </c>
      <c r="FT4" s="280">
        <v>2</v>
      </c>
      <c r="FU4" s="280">
        <v>4</v>
      </c>
      <c r="FV4" s="280"/>
      <c r="FW4" s="280"/>
      <c r="FX4" s="280"/>
    </row>
    <row r="5" spans="1:180" ht="17.25" customHeight="1" thickBot="1" x14ac:dyDescent="0.35">
      <c r="C5" s="276" t="s">
        <v>66</v>
      </c>
      <c r="D5" s="276" t="s">
        <v>14</v>
      </c>
      <c r="E5" s="276" t="s">
        <v>55</v>
      </c>
      <c r="F5" s="276" t="s">
        <v>67</v>
      </c>
      <c r="G5" s="277" t="s">
        <v>68</v>
      </c>
      <c r="H5" s="279" t="s">
        <v>69</v>
      </c>
      <c r="I5" s="279" t="s">
        <v>70</v>
      </c>
      <c r="K5" s="279" t="s">
        <v>71</v>
      </c>
      <c r="O5" s="279" t="s">
        <v>66</v>
      </c>
      <c r="P5" s="279" t="s">
        <v>14</v>
      </c>
      <c r="Q5" s="279" t="s">
        <v>55</v>
      </c>
      <c r="R5" s="279" t="s">
        <v>67</v>
      </c>
      <c r="S5" s="279" t="s">
        <v>68</v>
      </c>
      <c r="T5" s="279" t="s">
        <v>69</v>
      </c>
      <c r="U5" s="279" t="s">
        <v>70</v>
      </c>
      <c r="X5" s="279" t="s">
        <v>71</v>
      </c>
      <c r="AA5" s="197" t="s">
        <v>72</v>
      </c>
      <c r="AB5" s="207">
        <f>VLOOKUP(AC$2,poule3,3,FALSE)</f>
        <v>80</v>
      </c>
      <c r="AC5" s="208" t="s">
        <v>72</v>
      </c>
      <c r="AD5" s="208">
        <f t="shared" si="0"/>
        <v>80</v>
      </c>
      <c r="AE5" s="210"/>
      <c r="AF5" s="207" t="e">
        <f>VLOOKUP(AG$2,poule3,3,FALSE)</f>
        <v>#N/A</v>
      </c>
      <c r="AG5" s="208" t="s">
        <v>72</v>
      </c>
      <c r="AH5" s="208">
        <f t="shared" si="1"/>
        <v>0</v>
      </c>
      <c r="AI5" s="210"/>
      <c r="AJ5" s="207">
        <f>VLOOKUP(AK$2,poule3,3,FALSE)</f>
        <v>80</v>
      </c>
      <c r="AK5" s="208" t="s">
        <v>72</v>
      </c>
      <c r="AL5" s="208">
        <f t="shared" si="2"/>
        <v>80</v>
      </c>
      <c r="AM5" s="210"/>
      <c r="AN5" s="207">
        <f>VLOOKUP(AO$2,poule3,3,FALSE)</f>
        <v>34</v>
      </c>
      <c r="AO5" s="208" t="s">
        <v>72</v>
      </c>
      <c r="AP5" s="208">
        <f t="shared" si="3"/>
        <v>34</v>
      </c>
      <c r="AQ5" s="210"/>
      <c r="AR5" s="207">
        <f>VLOOKUP(AS$2,poule3,3,FALSE)</f>
        <v>80</v>
      </c>
      <c r="AS5" s="208" t="s">
        <v>72</v>
      </c>
      <c r="AT5" s="208">
        <f t="shared" si="4"/>
        <v>80</v>
      </c>
      <c r="AU5" s="210"/>
      <c r="AV5" s="207" t="e">
        <f>VLOOKUP(AW$2,poule3,3,FALSE)</f>
        <v>#N/A</v>
      </c>
      <c r="AW5" s="208" t="s">
        <v>72</v>
      </c>
      <c r="AX5" s="208">
        <f t="shared" si="5"/>
        <v>0</v>
      </c>
      <c r="AY5" s="210"/>
      <c r="AZ5" s="213" t="e">
        <f>VLOOKUP(BA$2,poule3,3,FALSE)</f>
        <v>#N/A</v>
      </c>
      <c r="BA5" s="208" t="s">
        <v>72</v>
      </c>
      <c r="BB5" s="208">
        <f t="shared" si="6"/>
        <v>0</v>
      </c>
      <c r="BC5" s="210"/>
      <c r="BD5" s="213" t="e">
        <f>VLOOKUP(BE$2,poule3,3,FALSE)</f>
        <v>#N/A</v>
      </c>
      <c r="BE5" s="208" t="s">
        <v>72</v>
      </c>
      <c r="BF5" s="208">
        <f t="shared" si="7"/>
        <v>0</v>
      </c>
      <c r="BG5" s="210"/>
      <c r="BH5" s="213" t="e">
        <f>VLOOKUP(BI$2,poule3,3,FALSE)</f>
        <v>#N/A</v>
      </c>
      <c r="BI5" s="208" t="s">
        <v>72</v>
      </c>
      <c r="BJ5" s="208">
        <f t="shared" si="8"/>
        <v>0</v>
      </c>
      <c r="BK5" s="210"/>
      <c r="BL5" s="213" t="e">
        <f>VLOOKUP(BM$2,poule3,3,FALSE)</f>
        <v>#N/A</v>
      </c>
      <c r="BM5" s="208" t="s">
        <v>72</v>
      </c>
      <c r="BN5" s="208">
        <f t="shared" si="9"/>
        <v>0</v>
      </c>
      <c r="BO5" s="210"/>
      <c r="BP5" s="213" t="e">
        <f>VLOOKUP(BQ$2,poule3,3,FALSE)</f>
        <v>#N/A</v>
      </c>
      <c r="BQ5" s="208" t="s">
        <v>72</v>
      </c>
      <c r="BR5" s="208">
        <f t="shared" si="10"/>
        <v>0</v>
      </c>
      <c r="BS5" s="210"/>
      <c r="BT5" s="213" t="e">
        <f>VLOOKUP(BU$2,poule3,3,FALSE)</f>
        <v>#N/A</v>
      </c>
      <c r="BU5" s="208" t="s">
        <v>72</v>
      </c>
      <c r="BV5" s="208">
        <f t="shared" si="11"/>
        <v>0</v>
      </c>
      <c r="BW5" s="210"/>
      <c r="BX5" s="213" t="e">
        <f>VLOOKUP(BY$2,poule3,3,FALSE)</f>
        <v>#N/A</v>
      </c>
      <c r="BY5" s="208" t="s">
        <v>72</v>
      </c>
      <c r="BZ5" s="208">
        <f t="shared" si="12"/>
        <v>0</v>
      </c>
      <c r="CA5" s="210"/>
      <c r="CB5" s="213" t="e">
        <f>VLOOKUP(CC$2,poule3,3,FALSE)</f>
        <v>#N/A</v>
      </c>
      <c r="CC5" s="208" t="s">
        <v>72</v>
      </c>
      <c r="CD5" s="208">
        <f t="shared" si="13"/>
        <v>0</v>
      </c>
      <c r="CE5" s="210"/>
      <c r="CF5" s="213" t="e">
        <f>VLOOKUP(CG$2,poule3,3,FALSE)</f>
        <v>#N/A</v>
      </c>
      <c r="CG5" s="208" t="s">
        <v>72</v>
      </c>
      <c r="CH5" s="208">
        <f t="shared" si="14"/>
        <v>0</v>
      </c>
      <c r="CI5" s="210"/>
      <c r="CJ5" s="213" t="e">
        <f>VLOOKUP(CK$2,poule3,3,FALSE)</f>
        <v>#N/A</v>
      </c>
      <c r="CK5" s="208" t="s">
        <v>72</v>
      </c>
      <c r="CL5" s="208">
        <f t="shared" si="15"/>
        <v>0</v>
      </c>
      <c r="CM5" s="210"/>
      <c r="CN5" s="209"/>
      <c r="CO5" s="208"/>
      <c r="CP5" s="208"/>
      <c r="CQ5" s="210"/>
      <c r="CT5" s="284" t="s">
        <v>73</v>
      </c>
      <c r="CU5" s="1">
        <v>3</v>
      </c>
      <c r="CX5" s="211"/>
      <c r="EM5" s="199">
        <v>4</v>
      </c>
      <c r="EN5" s="199"/>
      <c r="EO5" s="199"/>
      <c r="EP5" s="199" t="s">
        <v>74</v>
      </c>
      <c r="EQ5" s="199">
        <f>IF(J6=J7,21,IF(J6&gt;J7,A6,A7))</f>
        <v>2</v>
      </c>
      <c r="ER5" s="199">
        <f>IF(K31+K32=0,21,IF(K31=2,A31,A32))</f>
        <v>3</v>
      </c>
      <c r="ES5" s="199"/>
      <c r="ET5" s="199"/>
      <c r="EU5" s="199"/>
      <c r="EV5" s="199"/>
      <c r="EW5" s="199"/>
      <c r="EX5" s="199"/>
      <c r="EY5" s="289"/>
      <c r="EZ5" s="290"/>
      <c r="FA5" s="290">
        <v>3</v>
      </c>
      <c r="FB5" s="290">
        <v>3</v>
      </c>
      <c r="FC5" s="290"/>
      <c r="FD5" s="290"/>
      <c r="FE5" s="290">
        <v>3</v>
      </c>
      <c r="FF5" s="290">
        <v>3</v>
      </c>
      <c r="FG5" s="290">
        <v>3</v>
      </c>
      <c r="FH5" s="290">
        <v>3</v>
      </c>
      <c r="FI5" s="290">
        <v>3</v>
      </c>
      <c r="FJ5" s="290">
        <v>3</v>
      </c>
      <c r="FK5" s="291">
        <v>3</v>
      </c>
      <c r="FL5" s="291">
        <v>3</v>
      </c>
      <c r="FM5" s="291">
        <v>3</v>
      </c>
      <c r="FN5" s="291">
        <v>3</v>
      </c>
      <c r="FO5" s="291"/>
      <c r="FP5" s="292"/>
      <c r="FQ5" s="280"/>
      <c r="FR5" s="280"/>
      <c r="FS5" s="281">
        <v>3</v>
      </c>
      <c r="FT5" s="279">
        <v>3</v>
      </c>
      <c r="FU5" s="279">
        <v>5</v>
      </c>
      <c r="FV5" s="212"/>
      <c r="FW5" s="212"/>
      <c r="FX5" s="280"/>
    </row>
    <row r="6" spans="1:180" s="293" customFormat="1" ht="21.75" customHeight="1" thickBot="1" x14ac:dyDescent="0.35">
      <c r="A6" s="293">
        <f>HLOOKUP($A$3,Scenario1,5,FALSE)</f>
        <v>2</v>
      </c>
      <c r="B6" s="338" t="str">
        <f>IF(Tirage!$H$3="Finale 5 Joueurs","Billard 1","")</f>
        <v>Billard 1</v>
      </c>
      <c r="C6" s="214" t="str">
        <f>VLOOKUP($A6,joueurs,2,FALSE)</f>
        <v>CASTANER GEORGES</v>
      </c>
      <c r="D6" s="339">
        <f>IF(Tirage!$G$17="","",HLOOKUP($A$3,TourDeJeu,33,FALSE))</f>
        <v>80</v>
      </c>
      <c r="E6" s="215">
        <v>80</v>
      </c>
      <c r="F6" s="215">
        <v>24</v>
      </c>
      <c r="G6" s="216">
        <v>22</v>
      </c>
      <c r="H6" s="217">
        <f>IF(F6="","",E6/F6)</f>
        <v>3.3333333333333335</v>
      </c>
      <c r="I6" s="218"/>
      <c r="J6" s="219">
        <f>IF(ISBLANK(E6),0,E6/F6+(G6/100))</f>
        <v>3.5533333333333337</v>
      </c>
      <c r="K6" s="220">
        <f>IF(E6="","",IF(E6&gt;E7,2,IF(E6=E7,1,0)))</f>
        <v>2</v>
      </c>
      <c r="M6" s="293">
        <f>HLOOKUP($A$3,scenario2,5,FALSE)</f>
        <v>1</v>
      </c>
      <c r="N6" s="338" t="str">
        <f>IF(Tirage!$H$3="Finale 5 Joueurs","Billard 2","")</f>
        <v>Billard 2</v>
      </c>
      <c r="O6" s="214" t="str">
        <f>VLOOKUP($M6,joueurs,2,FALSE)</f>
        <v>HENWOOD PHILIPPE</v>
      </c>
      <c r="P6" s="339">
        <f>IF(Tirage!$G$17="","",HLOOKUP($A$3,TourDeJeu,33,FALSE))</f>
        <v>80</v>
      </c>
      <c r="Q6" s="215">
        <v>80</v>
      </c>
      <c r="R6" s="215">
        <v>8</v>
      </c>
      <c r="S6" s="216">
        <v>27</v>
      </c>
      <c r="T6" s="221">
        <f>IF(R6="","",Q6/R6)</f>
        <v>10</v>
      </c>
      <c r="U6" s="218"/>
      <c r="V6" s="219">
        <f>IF(ISBLANK(Q6),"",Q6/R6+(S6/100))</f>
        <v>10.27</v>
      </c>
      <c r="W6" s="219"/>
      <c r="X6" s="220">
        <f>IF(Q6="","",IF(Q6&gt;Q7,2,IF(Q6=Q7,1,0)))</f>
        <v>2</v>
      </c>
      <c r="Y6" s="222"/>
      <c r="AA6" s="197" t="s">
        <v>75</v>
      </c>
      <c r="AB6" s="209">
        <f>VLOOKUP(AC$2,poule4,3,FALSE)</f>
        <v>59</v>
      </c>
      <c r="AC6" s="208" t="s">
        <v>75</v>
      </c>
      <c r="AD6" s="208">
        <f t="shared" si="0"/>
        <v>59</v>
      </c>
      <c r="AE6" s="210"/>
      <c r="AF6" s="209">
        <f>VLOOKUP(AG$2,poule4,3,FALSE)</f>
        <v>80</v>
      </c>
      <c r="AG6" s="208" t="s">
        <v>75</v>
      </c>
      <c r="AH6" s="208">
        <f t="shared" si="1"/>
        <v>80</v>
      </c>
      <c r="AI6" s="210"/>
      <c r="AJ6" s="209">
        <f>VLOOKUP(AK$2,poule4,3,FALSE)</f>
        <v>80</v>
      </c>
      <c r="AK6" s="208" t="s">
        <v>75</v>
      </c>
      <c r="AL6" s="208">
        <f t="shared" si="2"/>
        <v>80</v>
      </c>
      <c r="AM6" s="210"/>
      <c r="AN6" s="209">
        <f>VLOOKUP(AO$2,poule4,3,FALSE)</f>
        <v>41</v>
      </c>
      <c r="AO6" s="208" t="s">
        <v>75</v>
      </c>
      <c r="AP6" s="208">
        <f t="shared" si="3"/>
        <v>41</v>
      </c>
      <c r="AQ6" s="210"/>
      <c r="AR6" s="209" t="e">
        <f>VLOOKUP(AS$2,poule4,3,FALSE)</f>
        <v>#N/A</v>
      </c>
      <c r="AS6" s="208" t="s">
        <v>75</v>
      </c>
      <c r="AT6" s="208">
        <f t="shared" si="4"/>
        <v>0</v>
      </c>
      <c r="AU6" s="210"/>
      <c r="AV6" s="209" t="e">
        <f>VLOOKUP(AW$2,poule4,3,FALSE)</f>
        <v>#N/A</v>
      </c>
      <c r="AW6" s="208" t="s">
        <v>75</v>
      </c>
      <c r="AX6" s="208">
        <f t="shared" si="5"/>
        <v>0</v>
      </c>
      <c r="AY6" s="210"/>
      <c r="AZ6" s="209" t="e">
        <f>VLOOKUP(BA$2,poule4,3,FALSE)</f>
        <v>#N/A</v>
      </c>
      <c r="BA6" s="208" t="s">
        <v>75</v>
      </c>
      <c r="BB6" s="208">
        <f t="shared" si="6"/>
        <v>0</v>
      </c>
      <c r="BC6" s="210"/>
      <c r="BD6" s="209" t="e">
        <f>VLOOKUP(BE$2,poule4,3,FALSE)</f>
        <v>#N/A</v>
      </c>
      <c r="BE6" s="208" t="s">
        <v>75</v>
      </c>
      <c r="BF6" s="208">
        <f t="shared" si="7"/>
        <v>0</v>
      </c>
      <c r="BG6" s="210"/>
      <c r="BH6" s="209" t="e">
        <f>VLOOKUP(BI$2,poule4,3,FALSE)</f>
        <v>#N/A</v>
      </c>
      <c r="BI6" s="208" t="s">
        <v>75</v>
      </c>
      <c r="BJ6" s="208">
        <f t="shared" si="8"/>
        <v>0</v>
      </c>
      <c r="BK6" s="210"/>
      <c r="BL6" s="209" t="e">
        <f>VLOOKUP(BM$2,poule4,3,FALSE)</f>
        <v>#N/A</v>
      </c>
      <c r="BM6" s="208" t="s">
        <v>75</v>
      </c>
      <c r="BN6" s="208">
        <f t="shared" si="9"/>
        <v>0</v>
      </c>
      <c r="BO6" s="210"/>
      <c r="BP6" s="209" t="e">
        <f>VLOOKUP(BQ$2,poule4,3,FALSE)</f>
        <v>#N/A</v>
      </c>
      <c r="BQ6" s="208" t="s">
        <v>75</v>
      </c>
      <c r="BR6" s="208">
        <f t="shared" si="10"/>
        <v>0</v>
      </c>
      <c r="BS6" s="210"/>
      <c r="BT6" s="209" t="e">
        <f>VLOOKUP(BU$2,poule4,3,FALSE)</f>
        <v>#N/A</v>
      </c>
      <c r="BU6" s="208" t="s">
        <v>75</v>
      </c>
      <c r="BV6" s="208">
        <f t="shared" si="11"/>
        <v>0</v>
      </c>
      <c r="BW6" s="210"/>
      <c r="BX6" s="209" t="e">
        <f>VLOOKUP(BY$2,poule4,3,FALSE)</f>
        <v>#N/A</v>
      </c>
      <c r="BY6" s="208" t="s">
        <v>75</v>
      </c>
      <c r="BZ6" s="208">
        <f t="shared" si="12"/>
        <v>0</v>
      </c>
      <c r="CA6" s="210"/>
      <c r="CB6" s="209" t="e">
        <f>VLOOKUP(CC$2,poule4,3,FALSE)</f>
        <v>#N/A</v>
      </c>
      <c r="CC6" s="208" t="s">
        <v>75</v>
      </c>
      <c r="CD6" s="208">
        <f t="shared" si="13"/>
        <v>0</v>
      </c>
      <c r="CE6" s="210"/>
      <c r="CF6" s="209" t="e">
        <f>VLOOKUP(CG$2,poule4,3,FALSE)</f>
        <v>#N/A</v>
      </c>
      <c r="CG6" s="208" t="s">
        <v>75</v>
      </c>
      <c r="CH6" s="208">
        <f t="shared" si="14"/>
        <v>0</v>
      </c>
      <c r="CI6" s="210"/>
      <c r="CJ6" s="209" t="e">
        <f>VLOOKUP(CK$2,poule4,3,FALSE)</f>
        <v>#N/A</v>
      </c>
      <c r="CK6" s="208" t="s">
        <v>75</v>
      </c>
      <c r="CL6" s="208">
        <f t="shared" si="15"/>
        <v>0</v>
      </c>
      <c r="CM6" s="210"/>
      <c r="CN6" s="209"/>
      <c r="CO6" s="208"/>
      <c r="CP6" s="208"/>
      <c r="CQ6" s="210"/>
      <c r="CR6" s="280"/>
      <c r="CS6" s="280"/>
      <c r="CT6" s="284" t="s">
        <v>76</v>
      </c>
      <c r="CU6" s="1" t="s">
        <v>77</v>
      </c>
      <c r="CV6" s="280"/>
      <c r="CW6" s="280"/>
      <c r="CX6" s="348" t="s">
        <v>78</v>
      </c>
      <c r="CY6" s="285">
        <v>1</v>
      </c>
      <c r="CZ6" s="287">
        <v>1</v>
      </c>
      <c r="DA6" s="287">
        <v>2</v>
      </c>
      <c r="DB6" s="287">
        <v>2</v>
      </c>
      <c r="DC6" s="287" t="s">
        <v>26</v>
      </c>
      <c r="DD6" s="287"/>
      <c r="DE6" s="287">
        <v>2</v>
      </c>
      <c r="DF6" s="287">
        <v>2</v>
      </c>
      <c r="DG6" s="287">
        <v>1</v>
      </c>
      <c r="DH6" s="287">
        <v>1</v>
      </c>
      <c r="DI6" s="287">
        <v>1</v>
      </c>
      <c r="DJ6" s="287">
        <v>1</v>
      </c>
      <c r="DK6" s="287">
        <v>2</v>
      </c>
      <c r="DL6" s="287">
        <v>2</v>
      </c>
      <c r="DM6" s="287">
        <v>1</v>
      </c>
      <c r="DN6" s="288">
        <v>2</v>
      </c>
      <c r="DO6" s="199"/>
      <c r="DP6" s="285" t="s">
        <v>26</v>
      </c>
      <c r="DQ6" s="287" t="s">
        <v>26</v>
      </c>
      <c r="DR6" s="287" t="s">
        <v>26</v>
      </c>
      <c r="DS6" s="287" t="s">
        <v>26</v>
      </c>
      <c r="DT6" s="287" t="s">
        <v>26</v>
      </c>
      <c r="DU6" s="287"/>
      <c r="DV6" s="287" t="s">
        <v>26</v>
      </c>
      <c r="DW6" s="287" t="s">
        <v>26</v>
      </c>
      <c r="DX6" s="287" t="s">
        <v>26</v>
      </c>
      <c r="DY6" s="287">
        <v>5</v>
      </c>
      <c r="DZ6" s="287" t="s">
        <v>26</v>
      </c>
      <c r="EA6" s="287" t="s">
        <v>26</v>
      </c>
      <c r="EB6" s="287" t="s">
        <v>26</v>
      </c>
      <c r="EC6" s="287">
        <v>1</v>
      </c>
      <c r="ED6" s="287" t="s">
        <v>26</v>
      </c>
      <c r="EE6" s="288" t="s">
        <v>26</v>
      </c>
      <c r="EF6" s="199"/>
      <c r="EG6" s="199"/>
      <c r="EH6" s="199"/>
      <c r="EI6" s="199"/>
      <c r="EJ6" s="199"/>
      <c r="EK6" s="199"/>
      <c r="EL6" s="280"/>
      <c r="EM6" s="199">
        <v>5</v>
      </c>
      <c r="EN6" s="199"/>
      <c r="EO6" s="199"/>
      <c r="EP6" s="199" t="s">
        <v>64</v>
      </c>
      <c r="EQ6" s="199">
        <f>IF(J7=J6,20,IF(J7&lt;J6,A7,A6))</f>
        <v>5</v>
      </c>
      <c r="ER6" s="199">
        <f>IF(K35+K34=0,20,IF(K35=2,A34,A35))</f>
        <v>4</v>
      </c>
      <c r="ES6" s="199"/>
      <c r="ET6" s="199"/>
      <c r="EU6" s="199"/>
      <c r="EV6" s="199"/>
      <c r="EW6" s="199"/>
      <c r="EX6" s="199"/>
      <c r="EY6" s="294"/>
      <c r="EZ6" s="295"/>
      <c r="FA6" s="295"/>
      <c r="FB6" s="290">
        <v>4</v>
      </c>
      <c r="FC6" s="295"/>
      <c r="FD6" s="295"/>
      <c r="FE6" s="295"/>
      <c r="FF6" s="295"/>
      <c r="FG6" s="295">
        <v>4</v>
      </c>
      <c r="FH6" s="295">
        <v>4</v>
      </c>
      <c r="FI6" s="295">
        <v>4</v>
      </c>
      <c r="FJ6" s="295">
        <v>4</v>
      </c>
      <c r="FK6" s="291">
        <v>4</v>
      </c>
      <c r="FL6" s="291">
        <v>4</v>
      </c>
      <c r="FM6" s="291">
        <v>4</v>
      </c>
      <c r="FN6" s="291">
        <v>4</v>
      </c>
      <c r="FO6" s="296"/>
      <c r="FP6" s="297"/>
      <c r="FQ6" s="280"/>
      <c r="FR6" s="280"/>
      <c r="FS6" s="281"/>
      <c r="FT6" s="293">
        <v>4</v>
      </c>
      <c r="FU6" s="293">
        <v>2</v>
      </c>
      <c r="FV6" s="199"/>
      <c r="FW6" s="199"/>
      <c r="FX6" s="280"/>
    </row>
    <row r="7" spans="1:180" s="293" customFormat="1" ht="20.399999999999999" x14ac:dyDescent="0.3">
      <c r="A7" s="293">
        <f>HLOOKUP($A$3,Scenario1,6,FALSE)</f>
        <v>5</v>
      </c>
      <c r="B7" s="338"/>
      <c r="C7" s="214" t="str">
        <f>VLOOKUP($A7,joueurs,2,FALSE)</f>
        <v>LACHOQUE DANIEL</v>
      </c>
      <c r="D7" s="340"/>
      <c r="E7" s="215">
        <v>41</v>
      </c>
      <c r="F7" s="223">
        <f>IF(F6="","",F6)</f>
        <v>24</v>
      </c>
      <c r="G7" s="216">
        <v>9</v>
      </c>
      <c r="H7" s="217">
        <f>IF(E7="","",E7/F7)</f>
        <v>1.7083333333333333</v>
      </c>
      <c r="I7" s="224">
        <f>I6</f>
        <v>0</v>
      </c>
      <c r="J7" s="219">
        <f>IF(ISBLANK(E7),0,E7/F7+(G7/100))</f>
        <v>1.7983333333333333</v>
      </c>
      <c r="K7" s="220">
        <f>IF(E7="","",IF(E7&gt;E6,2,IF(E7=E6,1,0)))</f>
        <v>0</v>
      </c>
      <c r="M7" s="293">
        <f>HLOOKUP($A$3,scenario2,6,FALSE)</f>
        <v>2</v>
      </c>
      <c r="N7" s="338"/>
      <c r="O7" s="214" t="str">
        <f>VLOOKUP($M7,joueurs,2,FALSE)</f>
        <v>CASTANER GEORGES</v>
      </c>
      <c r="P7" s="340"/>
      <c r="Q7" s="215">
        <v>38</v>
      </c>
      <c r="R7" s="223">
        <f>IF(R6="","",R6)</f>
        <v>8</v>
      </c>
      <c r="S7" s="216">
        <v>11</v>
      </c>
      <c r="T7" s="221">
        <f>IF(Q7="","",Q7/R7)</f>
        <v>4.75</v>
      </c>
      <c r="U7" s="224">
        <f>U6</f>
        <v>0</v>
      </c>
      <c r="V7" s="219">
        <f>IF(ISBLANK(Q7),"",Q7/R7+(S7/100))</f>
        <v>4.8600000000000003</v>
      </c>
      <c r="W7" s="219"/>
      <c r="X7" s="220">
        <f>IF(Q7="","",IF(Q7&gt;Q6,2,IF(Q7=Q6,1,0)))</f>
        <v>0</v>
      </c>
      <c r="Y7" s="222"/>
      <c r="AA7" s="197" t="s">
        <v>79</v>
      </c>
      <c r="AB7" s="209">
        <f>VLOOKUP(AC$2,poule5,3,FALSE)</f>
        <v>80</v>
      </c>
      <c r="AC7" s="208" t="s">
        <v>79</v>
      </c>
      <c r="AD7" s="208">
        <f t="shared" si="0"/>
        <v>80</v>
      </c>
      <c r="AE7" s="208"/>
      <c r="AF7" s="209">
        <f>VLOOKUP(AG$2,poule5,3,FALSE)</f>
        <v>38</v>
      </c>
      <c r="AG7" s="208" t="s">
        <v>79</v>
      </c>
      <c r="AH7" s="208">
        <f t="shared" si="1"/>
        <v>38</v>
      </c>
      <c r="AI7" s="208"/>
      <c r="AJ7" s="209" t="e">
        <f>VLOOKUP(AK$2,poule5,3,FALSE)</f>
        <v>#N/A</v>
      </c>
      <c r="AK7" s="208" t="s">
        <v>79</v>
      </c>
      <c r="AL7" s="208">
        <f t="shared" si="2"/>
        <v>0</v>
      </c>
      <c r="AM7" s="208"/>
      <c r="AN7" s="209">
        <f>VLOOKUP(AO$2,poule5,3,FALSE)</f>
        <v>80</v>
      </c>
      <c r="AO7" s="208" t="s">
        <v>79</v>
      </c>
      <c r="AP7" s="208">
        <f t="shared" si="3"/>
        <v>80</v>
      </c>
      <c r="AQ7" s="208"/>
      <c r="AR7" s="209">
        <f>VLOOKUP(AS$2,poule5,3,FALSE)</f>
        <v>55</v>
      </c>
      <c r="AS7" s="208" t="s">
        <v>79</v>
      </c>
      <c r="AT7" s="208">
        <f t="shared" si="4"/>
        <v>55</v>
      </c>
      <c r="AU7" s="208"/>
      <c r="AV7" s="209" t="e">
        <f>VLOOKUP(AW$2,poule5,3,FALSE)</f>
        <v>#N/A</v>
      </c>
      <c r="AW7" s="208" t="s">
        <v>79</v>
      </c>
      <c r="AX7" s="208">
        <f t="shared" si="5"/>
        <v>0</v>
      </c>
      <c r="AY7" s="208"/>
      <c r="AZ7" s="209" t="e">
        <f>VLOOKUP(BA$2,poule5,3,FALSE)</f>
        <v>#N/A</v>
      </c>
      <c r="BA7" s="208" t="s">
        <v>79</v>
      </c>
      <c r="BB7" s="208">
        <f t="shared" si="6"/>
        <v>0</v>
      </c>
      <c r="BC7" s="208"/>
      <c r="BD7" s="209" t="e">
        <f>VLOOKUP(BE$2,poule5,3,FALSE)</f>
        <v>#N/A</v>
      </c>
      <c r="BE7" s="208" t="s">
        <v>79</v>
      </c>
      <c r="BF7" s="208">
        <f t="shared" si="7"/>
        <v>0</v>
      </c>
      <c r="BG7" s="208"/>
      <c r="BH7" s="209" t="e">
        <f>VLOOKUP(BI$2,poule5,3,FALSE)</f>
        <v>#N/A</v>
      </c>
      <c r="BI7" s="208" t="s">
        <v>79</v>
      </c>
      <c r="BJ7" s="208">
        <f t="shared" si="8"/>
        <v>0</v>
      </c>
      <c r="BK7" s="208"/>
      <c r="BL7" s="209" t="e">
        <f>VLOOKUP(BM$2,poule5,3,FALSE)</f>
        <v>#N/A</v>
      </c>
      <c r="BM7" s="208" t="s">
        <v>79</v>
      </c>
      <c r="BN7" s="208">
        <f t="shared" si="9"/>
        <v>0</v>
      </c>
      <c r="BO7" s="208"/>
      <c r="BP7" s="209" t="e">
        <f>VLOOKUP(BQ$2,poule5,3,FALSE)</f>
        <v>#N/A</v>
      </c>
      <c r="BQ7" s="208" t="s">
        <v>79</v>
      </c>
      <c r="BR7" s="208">
        <f t="shared" si="10"/>
        <v>0</v>
      </c>
      <c r="BS7" s="208"/>
      <c r="BT7" s="209" t="e">
        <f>VLOOKUP(BU$2,poule5,3,FALSE)</f>
        <v>#N/A</v>
      </c>
      <c r="BU7" s="208" t="s">
        <v>79</v>
      </c>
      <c r="BV7" s="208">
        <f t="shared" si="11"/>
        <v>0</v>
      </c>
      <c r="BW7" s="208"/>
      <c r="BX7" s="209" t="e">
        <f>VLOOKUP(BY$2,poule5,3,FALSE)</f>
        <v>#N/A</v>
      </c>
      <c r="BY7" s="208" t="s">
        <v>79</v>
      </c>
      <c r="BZ7" s="208">
        <f t="shared" si="12"/>
        <v>0</v>
      </c>
      <c r="CA7" s="208"/>
      <c r="CB7" s="209" t="e">
        <f>VLOOKUP(CC$2,poule5,3,FALSE)</f>
        <v>#N/A</v>
      </c>
      <c r="CC7" s="208" t="s">
        <v>79</v>
      </c>
      <c r="CD7" s="208">
        <f t="shared" si="13"/>
        <v>0</v>
      </c>
      <c r="CE7" s="208"/>
      <c r="CF7" s="209" t="e">
        <f>VLOOKUP(CG$2,poule5,3,FALSE)</f>
        <v>#N/A</v>
      </c>
      <c r="CG7" s="208" t="s">
        <v>79</v>
      </c>
      <c r="CH7" s="208">
        <f t="shared" si="14"/>
        <v>0</v>
      </c>
      <c r="CI7" s="208"/>
      <c r="CJ7" s="209" t="e">
        <f>VLOOKUP(CK$2,poule5,3,FALSE)</f>
        <v>#N/A</v>
      </c>
      <c r="CK7" s="208" t="s">
        <v>79</v>
      </c>
      <c r="CL7" s="208">
        <f t="shared" si="15"/>
        <v>0</v>
      </c>
      <c r="CM7" s="208"/>
      <c r="CN7" s="209"/>
      <c r="CO7" s="208"/>
      <c r="CP7" s="208"/>
      <c r="CQ7" s="210"/>
      <c r="CR7" s="280"/>
      <c r="CS7" s="280"/>
      <c r="CT7" s="284" t="s">
        <v>80</v>
      </c>
      <c r="CU7" s="1" t="s">
        <v>57</v>
      </c>
      <c r="CV7" s="280"/>
      <c r="CW7" s="280"/>
      <c r="CX7" s="348"/>
      <c r="CY7" s="289">
        <v>2</v>
      </c>
      <c r="CZ7" s="291">
        <v>2</v>
      </c>
      <c r="DA7" s="291">
        <v>3</v>
      </c>
      <c r="DB7" s="291">
        <v>3</v>
      </c>
      <c r="DC7" s="291" t="s">
        <v>26</v>
      </c>
      <c r="DD7" s="291"/>
      <c r="DE7" s="291">
        <v>3</v>
      </c>
      <c r="DF7" s="291">
        <v>3</v>
      </c>
      <c r="DG7" s="291">
        <v>4</v>
      </c>
      <c r="DH7" s="291">
        <v>4</v>
      </c>
      <c r="DI7" s="291">
        <v>4</v>
      </c>
      <c r="DJ7" s="291">
        <v>4</v>
      </c>
      <c r="DK7" s="291">
        <v>5</v>
      </c>
      <c r="DL7" s="291">
        <v>5</v>
      </c>
      <c r="DM7" s="291">
        <v>3</v>
      </c>
      <c r="DN7" s="292">
        <v>3</v>
      </c>
      <c r="DO7" s="199"/>
      <c r="DP7" s="289" t="s">
        <v>26</v>
      </c>
      <c r="DQ7" s="291" t="s">
        <v>26</v>
      </c>
      <c r="DR7" s="291" t="s">
        <v>26</v>
      </c>
      <c r="DS7" s="291" t="s">
        <v>26</v>
      </c>
      <c r="DT7" s="291" t="s">
        <v>26</v>
      </c>
      <c r="DU7" s="291"/>
      <c r="DV7" s="291" t="s">
        <v>26</v>
      </c>
      <c r="DW7" s="291" t="s">
        <v>26</v>
      </c>
      <c r="DX7" s="291" t="s">
        <v>26</v>
      </c>
      <c r="DY7" s="291">
        <v>6</v>
      </c>
      <c r="DZ7" s="291" t="s">
        <v>26</v>
      </c>
      <c r="EA7" s="291" t="s">
        <v>26</v>
      </c>
      <c r="EB7" s="291" t="s">
        <v>26</v>
      </c>
      <c r="EC7" s="291">
        <v>2</v>
      </c>
      <c r="ED7" s="291" t="s">
        <v>26</v>
      </c>
      <c r="EE7" s="292" t="s">
        <v>26</v>
      </c>
      <c r="EF7" s="199"/>
      <c r="EG7" s="199"/>
      <c r="EH7" s="199"/>
      <c r="EI7" s="199"/>
      <c r="EJ7" s="199"/>
      <c r="EK7" s="199"/>
      <c r="EL7" s="280"/>
      <c r="EM7" s="199">
        <v>6</v>
      </c>
      <c r="EN7" s="199"/>
      <c r="EO7" s="199"/>
      <c r="EP7" s="199"/>
      <c r="EQ7" s="199"/>
      <c r="ER7" s="199"/>
      <c r="ES7" s="199"/>
      <c r="ET7" s="199"/>
      <c r="EU7" s="199"/>
      <c r="EV7" s="199"/>
      <c r="EW7" s="199"/>
      <c r="EX7" s="199"/>
      <c r="EY7" s="285"/>
      <c r="EZ7" s="286"/>
      <c r="FA7" s="286"/>
      <c r="FB7" s="290">
        <v>5</v>
      </c>
      <c r="FC7" s="286"/>
      <c r="FD7" s="286"/>
      <c r="FE7" s="286"/>
      <c r="FF7" s="286"/>
      <c r="FG7" s="286"/>
      <c r="FH7" s="286">
        <v>5</v>
      </c>
      <c r="FI7" s="286"/>
      <c r="FJ7" s="286"/>
      <c r="FK7" s="291">
        <v>5</v>
      </c>
      <c r="FL7" s="291">
        <v>5</v>
      </c>
      <c r="FM7" s="291">
        <v>5</v>
      </c>
      <c r="FN7" s="291">
        <v>5</v>
      </c>
      <c r="FO7" s="287"/>
      <c r="FP7" s="288"/>
      <c r="FQ7" s="280"/>
      <c r="FR7" s="280"/>
      <c r="FS7" s="281"/>
      <c r="FT7" s="293">
        <v>5</v>
      </c>
      <c r="FU7" s="293">
        <v>3</v>
      </c>
      <c r="FV7" s="199"/>
      <c r="FW7" s="199"/>
      <c r="FX7" s="280"/>
    </row>
    <row r="8" spans="1:180" s="293" customFormat="1" ht="20.399999999999999" x14ac:dyDescent="0.3">
      <c r="A8" s="279"/>
      <c r="B8" s="279"/>
      <c r="C8" s="199"/>
      <c r="D8" s="276" t="s">
        <v>14</v>
      </c>
      <c r="E8" s="276" t="s">
        <v>55</v>
      </c>
      <c r="F8" s="276" t="s">
        <v>67</v>
      </c>
      <c r="G8" s="277" t="s">
        <v>68</v>
      </c>
      <c r="H8" s="279" t="s">
        <v>69</v>
      </c>
      <c r="I8" s="279" t="s">
        <v>70</v>
      </c>
      <c r="J8" s="279"/>
      <c r="K8" s="279" t="s">
        <v>71</v>
      </c>
      <c r="M8" s="279"/>
      <c r="N8" s="279"/>
      <c r="O8" s="280"/>
      <c r="P8" s="279" t="s">
        <v>14</v>
      </c>
      <c r="Q8" s="279" t="s">
        <v>55</v>
      </c>
      <c r="R8" s="279" t="s">
        <v>67</v>
      </c>
      <c r="S8" s="279" t="s">
        <v>68</v>
      </c>
      <c r="T8" s="279" t="s">
        <v>69</v>
      </c>
      <c r="U8" s="279" t="s">
        <v>70</v>
      </c>
      <c r="V8" s="279"/>
      <c r="W8" s="279"/>
      <c r="X8" s="279" t="s">
        <v>71</v>
      </c>
      <c r="Y8" s="222"/>
      <c r="AA8" s="197" t="s">
        <v>81</v>
      </c>
      <c r="AB8" s="207" t="e">
        <f>VLOOKUP(AC$2,Poule6,3,FALSE)</f>
        <v>#N/A</v>
      </c>
      <c r="AC8" s="208" t="s">
        <v>81</v>
      </c>
      <c r="AD8" s="208">
        <f t="shared" si="0"/>
        <v>0</v>
      </c>
      <c r="AE8" s="208"/>
      <c r="AF8" s="207" t="e">
        <f>VLOOKUP(AG$2,Poule6,3,FALSE)</f>
        <v>#N/A</v>
      </c>
      <c r="AG8" s="208" t="s">
        <v>81</v>
      </c>
      <c r="AH8" s="208">
        <f t="shared" si="1"/>
        <v>0</v>
      </c>
      <c r="AI8" s="208"/>
      <c r="AJ8" s="207" t="e">
        <f>VLOOKUP(AK$2,Poule6,3,FALSE)</f>
        <v>#N/A</v>
      </c>
      <c r="AK8" s="208" t="s">
        <v>81</v>
      </c>
      <c r="AL8" s="208">
        <f t="shared" si="2"/>
        <v>0</v>
      </c>
      <c r="AM8" s="208"/>
      <c r="AN8" s="207" t="e">
        <f>VLOOKUP(AO$2,Poule6,3,FALSE)</f>
        <v>#N/A</v>
      </c>
      <c r="AO8" s="208" t="s">
        <v>81</v>
      </c>
      <c r="AP8" s="208">
        <f t="shared" si="3"/>
        <v>0</v>
      </c>
      <c r="AQ8" s="208"/>
      <c r="AR8" s="207" t="e">
        <f>VLOOKUP(AS$2,Poule6,3,FALSE)</f>
        <v>#N/A</v>
      </c>
      <c r="AS8" s="208" t="s">
        <v>81</v>
      </c>
      <c r="AT8" s="208">
        <f t="shared" si="4"/>
        <v>0</v>
      </c>
      <c r="AU8" s="208"/>
      <c r="AV8" s="207" t="e">
        <f>VLOOKUP(AW$2,Poule6,3,FALSE)</f>
        <v>#N/A</v>
      </c>
      <c r="AW8" s="208" t="s">
        <v>81</v>
      </c>
      <c r="AX8" s="208">
        <f t="shared" si="5"/>
        <v>0</v>
      </c>
      <c r="AY8" s="208"/>
      <c r="AZ8" s="209" t="e">
        <f>VLOOKUP(BA$2,Poule6,3,FALSE)</f>
        <v>#N/A</v>
      </c>
      <c r="BA8" s="208" t="s">
        <v>81</v>
      </c>
      <c r="BB8" s="208">
        <f t="shared" si="6"/>
        <v>0</v>
      </c>
      <c r="BC8" s="208"/>
      <c r="BD8" s="209" t="e">
        <f>VLOOKUP(BE$2,Poule6,3,FALSE)</f>
        <v>#N/A</v>
      </c>
      <c r="BE8" s="208" t="s">
        <v>81</v>
      </c>
      <c r="BF8" s="208">
        <f t="shared" si="7"/>
        <v>0</v>
      </c>
      <c r="BG8" s="208"/>
      <c r="BH8" s="209" t="e">
        <f>VLOOKUP(BI$2,Poule6,3,FALSE)</f>
        <v>#N/A</v>
      </c>
      <c r="BI8" s="208" t="s">
        <v>81</v>
      </c>
      <c r="BJ8" s="208">
        <f t="shared" si="8"/>
        <v>0</v>
      </c>
      <c r="BK8" s="208"/>
      <c r="BL8" s="209" t="e">
        <f>VLOOKUP(BM$2,Poule6,3,FALSE)</f>
        <v>#N/A</v>
      </c>
      <c r="BM8" s="208" t="s">
        <v>81</v>
      </c>
      <c r="BN8" s="208">
        <f t="shared" si="9"/>
        <v>0</v>
      </c>
      <c r="BO8" s="208"/>
      <c r="BP8" s="209" t="e">
        <f>VLOOKUP(BQ$2,Poule6,3,FALSE)</f>
        <v>#N/A</v>
      </c>
      <c r="BQ8" s="208" t="s">
        <v>81</v>
      </c>
      <c r="BR8" s="208">
        <f t="shared" si="10"/>
        <v>0</v>
      </c>
      <c r="BS8" s="208"/>
      <c r="BT8" s="209" t="e">
        <f>VLOOKUP(BU$2,Poule6,3,FALSE)</f>
        <v>#N/A</v>
      </c>
      <c r="BU8" s="208" t="s">
        <v>81</v>
      </c>
      <c r="BV8" s="208">
        <f t="shared" si="11"/>
        <v>0</v>
      </c>
      <c r="BW8" s="208"/>
      <c r="BX8" s="209" t="e">
        <f>VLOOKUP(BY$2,Poule6,3,FALSE)</f>
        <v>#N/A</v>
      </c>
      <c r="BY8" s="208" t="s">
        <v>81</v>
      </c>
      <c r="BZ8" s="208">
        <f t="shared" si="12"/>
        <v>0</v>
      </c>
      <c r="CA8" s="208"/>
      <c r="CB8" s="209" t="e">
        <f>VLOOKUP(CC$2,Poule6,3,FALSE)</f>
        <v>#N/A</v>
      </c>
      <c r="CC8" s="208" t="s">
        <v>81</v>
      </c>
      <c r="CD8" s="208">
        <f t="shared" si="13"/>
        <v>0</v>
      </c>
      <c r="CE8" s="208"/>
      <c r="CF8" s="209" t="e">
        <f>VLOOKUP(CG$2,Poule6,3,FALSE)</f>
        <v>#N/A</v>
      </c>
      <c r="CG8" s="208" t="s">
        <v>81</v>
      </c>
      <c r="CH8" s="208">
        <f t="shared" si="14"/>
        <v>0</v>
      </c>
      <c r="CI8" s="208"/>
      <c r="CJ8" s="209" t="e">
        <f>VLOOKUP(CK$2,Poule6,3,FALSE)</f>
        <v>#N/A</v>
      </c>
      <c r="CK8" s="208" t="s">
        <v>81</v>
      </c>
      <c r="CL8" s="208">
        <f t="shared" si="15"/>
        <v>0</v>
      </c>
      <c r="CM8" s="208"/>
      <c r="CN8" s="209"/>
      <c r="CO8" s="208"/>
      <c r="CP8" s="208"/>
      <c r="CQ8" s="210"/>
      <c r="CR8" s="280"/>
      <c r="CS8" s="280"/>
      <c r="CT8" s="284" t="s">
        <v>82</v>
      </c>
      <c r="CU8" s="1" t="s">
        <v>58</v>
      </c>
      <c r="CV8" s="280"/>
      <c r="CW8" s="280"/>
      <c r="CX8" s="348"/>
      <c r="CY8" s="298"/>
      <c r="CZ8" s="299"/>
      <c r="DA8" s="299"/>
      <c r="DB8" s="299"/>
      <c r="DC8" s="299"/>
      <c r="DD8" s="299"/>
      <c r="DE8" s="299"/>
      <c r="DF8" s="299"/>
      <c r="DG8" s="299"/>
      <c r="DH8" s="299"/>
      <c r="DI8" s="299"/>
      <c r="DJ8" s="299"/>
      <c r="DK8" s="299"/>
      <c r="DL8" s="299"/>
      <c r="DM8" s="299"/>
      <c r="DN8" s="300"/>
      <c r="DO8" s="280"/>
      <c r="DP8" s="298"/>
      <c r="DQ8" s="299"/>
      <c r="DR8" s="299"/>
      <c r="DS8" s="299"/>
      <c r="DT8" s="299"/>
      <c r="DU8" s="299"/>
      <c r="DV8" s="299"/>
      <c r="DW8" s="299"/>
      <c r="DX8" s="299"/>
      <c r="DY8" s="299"/>
      <c r="DZ8" s="299"/>
      <c r="EA8" s="299"/>
      <c r="EB8" s="299"/>
      <c r="EC8" s="299"/>
      <c r="ED8" s="299"/>
      <c r="EE8" s="300"/>
      <c r="EF8" s="280"/>
      <c r="EG8" s="280"/>
      <c r="EH8" s="280"/>
      <c r="EI8" s="280"/>
      <c r="EJ8" s="280"/>
      <c r="EK8" s="280"/>
      <c r="EL8" s="280"/>
      <c r="EM8" s="199">
        <v>7</v>
      </c>
      <c r="EN8" s="199"/>
      <c r="EO8" s="199"/>
      <c r="EP8" s="199" t="s">
        <v>83</v>
      </c>
      <c r="EQ8" s="199">
        <f>IF(J9=J10,21,IF(J9&gt;J10,A9,A10))</f>
        <v>3</v>
      </c>
      <c r="ER8" s="199">
        <f>IF(K34+K35=0,21,IF(K34=2,A34,A35))</f>
        <v>2</v>
      </c>
      <c r="ES8" s="199"/>
      <c r="ET8" s="199"/>
      <c r="EU8" s="199"/>
      <c r="EV8" s="199"/>
      <c r="EW8" s="199"/>
      <c r="EX8" s="199"/>
      <c r="EY8" s="289"/>
      <c r="EZ8" s="290"/>
      <c r="FA8" s="290"/>
      <c r="FB8" s="290">
        <v>6</v>
      </c>
      <c r="FC8" s="290"/>
      <c r="FD8" s="290"/>
      <c r="FE8" s="290"/>
      <c r="FF8" s="290"/>
      <c r="FG8" s="290"/>
      <c r="FH8" s="290">
        <v>6</v>
      </c>
      <c r="FI8" s="290"/>
      <c r="FJ8" s="290"/>
      <c r="FK8" s="291"/>
      <c r="FL8" s="291"/>
      <c r="FM8" s="291">
        <v>6</v>
      </c>
      <c r="FN8" s="291">
        <v>6</v>
      </c>
      <c r="FO8" s="291"/>
      <c r="FP8" s="292"/>
      <c r="FQ8" s="280"/>
      <c r="FR8" s="280"/>
      <c r="FS8" s="281"/>
      <c r="FT8" s="293">
        <v>6</v>
      </c>
      <c r="FU8" s="293">
        <v>6</v>
      </c>
      <c r="FV8" s="199"/>
      <c r="FW8" s="199"/>
      <c r="FX8" s="280"/>
    </row>
    <row r="9" spans="1:180" s="293" customFormat="1" ht="20.399999999999999" x14ac:dyDescent="0.3">
      <c r="A9" s="293">
        <f>HLOOKUP($A$3,Scenario1,8,FALSE)</f>
        <v>3</v>
      </c>
      <c r="B9" s="338" t="str">
        <f>IF(Tirage!$H$3="Finale 5 Joueurs","Billard 2","")</f>
        <v>Billard 2</v>
      </c>
      <c r="C9" s="214" t="str">
        <f>VLOOKUP($A9,joueurs,2,FALSE)</f>
        <v>CREDOT GERALD</v>
      </c>
      <c r="D9" s="339">
        <f>IF(Tirage!$G$17="","",HLOOKUP($A$3,TourDeJeu,33,FALSE))</f>
        <v>80</v>
      </c>
      <c r="E9" s="215">
        <v>80</v>
      </c>
      <c r="F9" s="215">
        <v>23</v>
      </c>
      <c r="G9" s="216">
        <v>14</v>
      </c>
      <c r="H9" s="217">
        <f>IF(F9="","",E9/F9)</f>
        <v>3.4782608695652173</v>
      </c>
      <c r="I9" s="218"/>
      <c r="J9" s="219">
        <f>IF(ISBLANK(E9),0,E9/F9+(G9/100))</f>
        <v>3.6182608695652174</v>
      </c>
      <c r="K9" s="220">
        <f>IF(E9="","",IF(E9&gt;E10,2,IF(E9=E10,1,0)))</f>
        <v>2</v>
      </c>
      <c r="M9" s="293">
        <f>HLOOKUP($A$3,scenario2,8,FALSE)</f>
        <v>4</v>
      </c>
      <c r="N9" s="338" t="str">
        <f>IF(Tirage!$H$3="Finale 5 Joueurs","Billard 1","")</f>
        <v>Billard 1</v>
      </c>
      <c r="O9" s="214" t="str">
        <f>VLOOKUP($M9,joueurs,2,FALSE)</f>
        <v>BLANCHARD THIERRY</v>
      </c>
      <c r="P9" s="339">
        <f>IF(Tirage!$G$17="","",HLOOKUP($A$3,TourDeJeu,33,FALSE))</f>
        <v>80</v>
      </c>
      <c r="Q9" s="215">
        <v>80</v>
      </c>
      <c r="R9" s="215">
        <v>20</v>
      </c>
      <c r="S9" s="216">
        <v>20</v>
      </c>
      <c r="T9" s="221">
        <f>IF(R9="","",Q9/R9)</f>
        <v>4</v>
      </c>
      <c r="U9" s="218"/>
      <c r="V9" s="219">
        <f>IF(ISBLANK(Q9),"",Q9/R9+(S9/100))</f>
        <v>4.2</v>
      </c>
      <c r="W9" s="219"/>
      <c r="X9" s="220">
        <f>IF(Q9="","",IF(Q9&gt;Q10,2,IF(Q9=Q10,1,0)))</f>
        <v>2</v>
      </c>
      <c r="Y9" s="222"/>
      <c r="AA9" s="197" t="s">
        <v>84</v>
      </c>
      <c r="AB9" s="209"/>
      <c r="AC9" s="208"/>
      <c r="AD9" s="225">
        <f>SUM(AD3:AD8)</f>
        <v>264</v>
      </c>
      <c r="AE9" s="208"/>
      <c r="AF9" s="209"/>
      <c r="AG9" s="208"/>
      <c r="AH9" s="225">
        <f>SUM(AH3:AH8)</f>
        <v>246</v>
      </c>
      <c r="AI9" s="208"/>
      <c r="AJ9" s="209"/>
      <c r="AK9" s="208"/>
      <c r="AL9" s="225">
        <f>SUM(AL3:AL8)</f>
        <v>320</v>
      </c>
      <c r="AM9" s="208"/>
      <c r="AN9" s="209"/>
      <c r="AO9" s="208"/>
      <c r="AP9" s="225">
        <f>SUM(AP3:AP8)</f>
        <v>214</v>
      </c>
      <c r="AQ9" s="208"/>
      <c r="AR9" s="209"/>
      <c r="AS9" s="208"/>
      <c r="AT9" s="225">
        <f>SUM(AT3:AT8)</f>
        <v>256</v>
      </c>
      <c r="AU9" s="208"/>
      <c r="AV9" s="209"/>
      <c r="AW9" s="208"/>
      <c r="AX9" s="225">
        <f>SUM(AX3:AX8)</f>
        <v>0</v>
      </c>
      <c r="AY9" s="208"/>
      <c r="AZ9" s="209"/>
      <c r="BA9" s="208"/>
      <c r="BB9" s="225">
        <f>SUM(BB3:BB8)</f>
        <v>0</v>
      </c>
      <c r="BC9" s="208"/>
      <c r="BD9" s="209"/>
      <c r="BE9" s="208"/>
      <c r="BF9" s="225">
        <f>SUM(BF3:BF8)</f>
        <v>0</v>
      </c>
      <c r="BG9" s="208"/>
      <c r="BH9" s="209"/>
      <c r="BI9" s="208"/>
      <c r="BJ9" s="225">
        <f>SUM(BJ3:BJ8)</f>
        <v>0</v>
      </c>
      <c r="BK9" s="208"/>
      <c r="BL9" s="209"/>
      <c r="BM9" s="208"/>
      <c r="BN9" s="225">
        <f>SUM(BN3:BN8)</f>
        <v>0</v>
      </c>
      <c r="BO9" s="208"/>
      <c r="BP9" s="209"/>
      <c r="BQ9" s="208"/>
      <c r="BR9" s="225">
        <f>SUM(BR3:BR8)</f>
        <v>0</v>
      </c>
      <c r="BS9" s="208"/>
      <c r="BT9" s="209"/>
      <c r="BU9" s="208"/>
      <c r="BV9" s="225">
        <f>SUM(BV3:BV8)</f>
        <v>0</v>
      </c>
      <c r="BW9" s="208"/>
      <c r="BX9" s="209"/>
      <c r="BY9" s="208"/>
      <c r="BZ9" s="225">
        <f>SUM(BZ3:BZ8)</f>
        <v>0</v>
      </c>
      <c r="CA9" s="208"/>
      <c r="CB9" s="209"/>
      <c r="CC9" s="208"/>
      <c r="CD9" s="225">
        <f>SUM(CD3:CD8)</f>
        <v>0</v>
      </c>
      <c r="CE9" s="208"/>
      <c r="CF9" s="209"/>
      <c r="CG9" s="208"/>
      <c r="CH9" s="225">
        <f>SUM(CH3:CH8)</f>
        <v>0</v>
      </c>
      <c r="CI9" s="208"/>
      <c r="CJ9" s="209"/>
      <c r="CK9" s="208"/>
      <c r="CL9" s="225">
        <f>SUM(CL3:CL8)</f>
        <v>0</v>
      </c>
      <c r="CM9" s="208"/>
      <c r="CN9" s="209"/>
      <c r="CO9" s="208"/>
      <c r="CP9" s="208"/>
      <c r="CQ9" s="210"/>
      <c r="CR9" s="280"/>
      <c r="CS9" s="280"/>
      <c r="CT9" s="284" t="s">
        <v>85</v>
      </c>
      <c r="CU9" s="1" t="s">
        <v>56</v>
      </c>
      <c r="CV9" s="280"/>
      <c r="CW9" s="280"/>
      <c r="CX9" s="348"/>
      <c r="CY9" s="289" t="s">
        <v>26</v>
      </c>
      <c r="CZ9" s="291" t="s">
        <v>26</v>
      </c>
      <c r="DA9" s="291" t="s">
        <v>26</v>
      </c>
      <c r="DB9" s="291">
        <v>5</v>
      </c>
      <c r="DC9" s="291" t="s">
        <v>26</v>
      </c>
      <c r="DD9" s="291"/>
      <c r="DE9" s="291" t="s">
        <v>26</v>
      </c>
      <c r="DF9" s="291" t="s">
        <v>26</v>
      </c>
      <c r="DG9" s="291">
        <v>3</v>
      </c>
      <c r="DH9" s="291">
        <v>3</v>
      </c>
      <c r="DI9" s="291">
        <v>3</v>
      </c>
      <c r="DJ9" s="291">
        <v>3</v>
      </c>
      <c r="DK9" s="291">
        <v>3</v>
      </c>
      <c r="DL9" s="291">
        <v>3</v>
      </c>
      <c r="DM9" s="291">
        <v>4</v>
      </c>
      <c r="DN9" s="292">
        <v>5</v>
      </c>
      <c r="DO9" s="199"/>
      <c r="DP9" s="289" t="s">
        <v>26</v>
      </c>
      <c r="DQ9" s="291" t="s">
        <v>26</v>
      </c>
      <c r="DR9" s="291" t="s">
        <v>26</v>
      </c>
      <c r="DS9" s="291" t="s">
        <v>26</v>
      </c>
      <c r="DT9" s="291" t="s">
        <v>26</v>
      </c>
      <c r="DU9" s="291"/>
      <c r="DV9" s="291" t="s">
        <v>26</v>
      </c>
      <c r="DW9" s="291" t="s">
        <v>26</v>
      </c>
      <c r="DX9" s="291" t="s">
        <v>26</v>
      </c>
      <c r="DY9" s="291">
        <v>7</v>
      </c>
      <c r="DZ9" s="291" t="s">
        <v>26</v>
      </c>
      <c r="EA9" s="291" t="s">
        <v>26</v>
      </c>
      <c r="EB9" s="291" t="s">
        <v>26</v>
      </c>
      <c r="EC9" s="291">
        <v>4</v>
      </c>
      <c r="ED9" s="291" t="s">
        <v>26</v>
      </c>
      <c r="EE9" s="292" t="s">
        <v>26</v>
      </c>
      <c r="EF9" s="199"/>
      <c r="EG9" s="199"/>
      <c r="EH9" s="199"/>
      <c r="EI9" s="199"/>
      <c r="EJ9" s="199"/>
      <c r="EK9" s="199"/>
      <c r="EL9" s="280"/>
      <c r="EM9" s="199">
        <v>8</v>
      </c>
      <c r="EN9" s="199"/>
      <c r="EO9" s="199"/>
      <c r="EP9" s="199" t="s">
        <v>65</v>
      </c>
      <c r="EQ9" s="199">
        <f>IF(J10=J9,20,IF(J10&lt;J9,A10,A9))</f>
        <v>4</v>
      </c>
      <c r="ER9" s="199">
        <f>IF(K38+K37=0,20,IF(K38=2,A37,A38))</f>
        <v>20</v>
      </c>
      <c r="ES9" s="199"/>
      <c r="ET9" s="199"/>
      <c r="EU9" s="199"/>
      <c r="EV9" s="199"/>
      <c r="EW9" s="199"/>
      <c r="EX9" s="199"/>
      <c r="EY9" s="289"/>
      <c r="EZ9" s="290"/>
      <c r="FA9" s="290"/>
      <c r="FB9" s="290"/>
      <c r="FC9" s="290"/>
      <c r="FD9" s="290"/>
      <c r="FE9" s="290"/>
      <c r="FF9" s="290"/>
      <c r="FG9" s="290"/>
      <c r="FH9" s="290">
        <v>7</v>
      </c>
      <c r="FI9" s="290"/>
      <c r="FJ9" s="290"/>
      <c r="FK9" s="291"/>
      <c r="FL9" s="291"/>
      <c r="FM9" s="291"/>
      <c r="FN9" s="291"/>
      <c r="FO9" s="291"/>
      <c r="FP9" s="292"/>
      <c r="FQ9" s="280"/>
      <c r="FR9" s="280"/>
      <c r="FS9" s="281"/>
      <c r="FV9" s="199"/>
      <c r="FW9" s="199"/>
      <c r="FX9" s="280"/>
    </row>
    <row r="10" spans="1:180" s="293" customFormat="1" ht="21" thickBot="1" x14ac:dyDescent="0.35">
      <c r="A10" s="293">
        <f>HLOOKUP($A$3,Scenario1,9,FALSE)</f>
        <v>4</v>
      </c>
      <c r="B10" s="338"/>
      <c r="C10" s="214" t="str">
        <f>VLOOKUP($A10,joueurs,2,FALSE)</f>
        <v>BLANCHARD THIERRY</v>
      </c>
      <c r="D10" s="340"/>
      <c r="E10" s="215">
        <v>59</v>
      </c>
      <c r="F10" s="223">
        <f>IF(F9="","",F9)</f>
        <v>23</v>
      </c>
      <c r="G10" s="216">
        <v>11</v>
      </c>
      <c r="H10" s="217">
        <f>IF(E10="","",E10/F10)</f>
        <v>2.5652173913043477</v>
      </c>
      <c r="I10" s="224">
        <f>I9</f>
        <v>0</v>
      </c>
      <c r="J10" s="219">
        <f>IF(ISBLANK(E10),0,E10/F10+(G10/100))</f>
        <v>2.6752173913043475</v>
      </c>
      <c r="K10" s="220">
        <f>IF(E10="","",IF(E10&gt;E9,2,IF(E10=E9,1,0)))</f>
        <v>0</v>
      </c>
      <c r="M10" s="293">
        <f>HLOOKUP($A$3,scenario2,9,FALSE)</f>
        <v>5</v>
      </c>
      <c r="N10" s="338"/>
      <c r="O10" s="214" t="str">
        <f>VLOOKUP($M10,joueurs,2,FALSE)</f>
        <v>LACHOQUE DANIEL</v>
      </c>
      <c r="P10" s="340"/>
      <c r="Q10" s="215">
        <v>55</v>
      </c>
      <c r="R10" s="223">
        <f>IF(R9="","",R9)</f>
        <v>20</v>
      </c>
      <c r="S10" s="216">
        <v>11</v>
      </c>
      <c r="T10" s="221">
        <f>IF(Q10="","",Q10/R10)</f>
        <v>2.75</v>
      </c>
      <c r="U10" s="224">
        <f>U9</f>
        <v>0</v>
      </c>
      <c r="V10" s="219">
        <f>IF(ISBLANK(Q10),"",Q10/R10+(S10/100))</f>
        <v>2.86</v>
      </c>
      <c r="W10" s="219"/>
      <c r="X10" s="220">
        <f>IF(Q10="","",IF(Q10&gt;Q9,2,IF(Q10=Q9,1,0)))</f>
        <v>0</v>
      </c>
      <c r="Y10" s="222"/>
      <c r="AA10" s="197"/>
      <c r="AB10" s="213"/>
      <c r="AC10" s="208"/>
      <c r="AD10" s="208"/>
      <c r="AE10" s="208"/>
      <c r="AF10" s="213"/>
      <c r="AG10" s="208"/>
      <c r="AH10" s="208"/>
      <c r="AI10" s="208"/>
      <c r="AJ10" s="213"/>
      <c r="AK10" s="208"/>
      <c r="AL10" s="208"/>
      <c r="AM10" s="208"/>
      <c r="AN10" s="213"/>
      <c r="AO10" s="208"/>
      <c r="AP10" s="208"/>
      <c r="AQ10" s="208"/>
      <c r="AR10" s="213"/>
      <c r="AS10" s="208"/>
      <c r="AT10" s="208"/>
      <c r="AU10" s="208"/>
      <c r="AV10" s="213"/>
      <c r="AW10" s="208"/>
      <c r="AX10" s="208"/>
      <c r="AY10" s="208"/>
      <c r="AZ10" s="213"/>
      <c r="BA10" s="208"/>
      <c r="BB10" s="208"/>
      <c r="BC10" s="208"/>
      <c r="BD10" s="213"/>
      <c r="BE10" s="208"/>
      <c r="BF10" s="208"/>
      <c r="BG10" s="208"/>
      <c r="BH10" s="213"/>
      <c r="BI10" s="208"/>
      <c r="BJ10" s="208"/>
      <c r="BK10" s="208"/>
      <c r="BL10" s="213"/>
      <c r="BM10" s="208"/>
      <c r="BN10" s="208"/>
      <c r="BO10" s="208"/>
      <c r="BP10" s="213"/>
      <c r="BQ10" s="208"/>
      <c r="BR10" s="208"/>
      <c r="BS10" s="208"/>
      <c r="BT10" s="213"/>
      <c r="BU10" s="208"/>
      <c r="BV10" s="208"/>
      <c r="BW10" s="208"/>
      <c r="BX10" s="213"/>
      <c r="BY10" s="208"/>
      <c r="BZ10" s="208"/>
      <c r="CA10" s="208"/>
      <c r="CB10" s="213"/>
      <c r="CC10" s="208"/>
      <c r="CD10" s="208"/>
      <c r="CE10" s="208"/>
      <c r="CF10" s="213"/>
      <c r="CG10" s="208"/>
      <c r="CH10" s="208"/>
      <c r="CI10" s="208"/>
      <c r="CJ10" s="213"/>
      <c r="CK10" s="208"/>
      <c r="CL10" s="208"/>
      <c r="CM10" s="208"/>
      <c r="CN10" s="209"/>
      <c r="CO10" s="208"/>
      <c r="CP10" s="208"/>
      <c r="CQ10" s="210"/>
      <c r="CR10" s="280"/>
      <c r="CS10" s="280"/>
      <c r="CT10" s="284" t="s">
        <v>86</v>
      </c>
      <c r="CU10" s="1" t="s">
        <v>17</v>
      </c>
      <c r="CV10" s="280"/>
      <c r="CW10" s="280"/>
      <c r="CX10" s="348"/>
      <c r="CY10" s="294" t="s">
        <v>26</v>
      </c>
      <c r="CZ10" s="296" t="s">
        <v>26</v>
      </c>
      <c r="DA10" s="296" t="s">
        <v>26</v>
      </c>
      <c r="DB10" s="296">
        <v>6</v>
      </c>
      <c r="DC10" s="296" t="s">
        <v>26</v>
      </c>
      <c r="DD10" s="296"/>
      <c r="DE10" s="296" t="s">
        <v>26</v>
      </c>
      <c r="DF10" s="296" t="s">
        <v>26</v>
      </c>
      <c r="DG10" s="296">
        <v>2</v>
      </c>
      <c r="DH10" s="296">
        <v>2</v>
      </c>
      <c r="DI10" s="296">
        <v>2</v>
      </c>
      <c r="DJ10" s="296">
        <v>2</v>
      </c>
      <c r="DK10" s="296">
        <v>4</v>
      </c>
      <c r="DL10" s="296">
        <v>4</v>
      </c>
      <c r="DM10" s="296">
        <v>5</v>
      </c>
      <c r="DN10" s="297">
        <v>6</v>
      </c>
      <c r="DO10" s="199"/>
      <c r="DP10" s="294" t="s">
        <v>26</v>
      </c>
      <c r="DQ10" s="296" t="s">
        <v>26</v>
      </c>
      <c r="DR10" s="296" t="s">
        <v>26</v>
      </c>
      <c r="DS10" s="296" t="s">
        <v>26</v>
      </c>
      <c r="DT10" s="296" t="s">
        <v>26</v>
      </c>
      <c r="DU10" s="296"/>
      <c r="DV10" s="296" t="s">
        <v>26</v>
      </c>
      <c r="DW10" s="296" t="s">
        <v>26</v>
      </c>
      <c r="DX10" s="296" t="s">
        <v>26</v>
      </c>
      <c r="DY10" s="296">
        <v>8</v>
      </c>
      <c r="DZ10" s="296" t="s">
        <v>26</v>
      </c>
      <c r="EA10" s="296" t="s">
        <v>26</v>
      </c>
      <c r="EB10" s="296" t="s">
        <v>26</v>
      </c>
      <c r="EC10" s="296">
        <v>5</v>
      </c>
      <c r="ED10" s="296" t="s">
        <v>26</v>
      </c>
      <c r="EE10" s="297" t="s">
        <v>26</v>
      </c>
      <c r="EF10" s="199"/>
      <c r="EG10" s="199"/>
      <c r="EH10" s="199"/>
      <c r="EI10" s="199"/>
      <c r="EJ10" s="199"/>
      <c r="EK10" s="199"/>
      <c r="EL10" s="280"/>
      <c r="EM10" s="199">
        <v>9</v>
      </c>
      <c r="EN10" s="199"/>
      <c r="EO10" s="199"/>
      <c r="EP10" s="199"/>
      <c r="EQ10" s="199"/>
      <c r="ER10" s="199"/>
      <c r="ES10" s="199"/>
      <c r="ET10" s="199"/>
      <c r="EU10" s="199"/>
      <c r="EV10" s="199"/>
      <c r="EW10" s="199"/>
      <c r="EX10" s="199"/>
      <c r="EY10" s="294"/>
      <c r="EZ10" s="295"/>
      <c r="FA10" s="295"/>
      <c r="FB10" s="295"/>
      <c r="FC10" s="295"/>
      <c r="FD10" s="295"/>
      <c r="FE10" s="295"/>
      <c r="FF10" s="295"/>
      <c r="FG10" s="295"/>
      <c r="FH10" s="295">
        <v>8</v>
      </c>
      <c r="FI10" s="295"/>
      <c r="FJ10" s="295"/>
      <c r="FK10" s="296"/>
      <c r="FL10" s="296"/>
      <c r="FM10" s="291"/>
      <c r="FN10" s="296"/>
      <c r="FO10" s="296"/>
      <c r="FP10" s="297"/>
      <c r="FQ10" s="280"/>
      <c r="FR10" s="280"/>
      <c r="FV10" s="199"/>
      <c r="FW10" s="199"/>
      <c r="FX10" s="280"/>
    </row>
    <row r="11" spans="1:180" s="293" customFormat="1" ht="31.5" customHeight="1" thickBot="1" x14ac:dyDescent="0.35">
      <c r="C11" s="226"/>
      <c r="D11" s="227"/>
      <c r="E11" s="228"/>
      <c r="F11" s="227"/>
      <c r="G11" s="229"/>
      <c r="H11" s="230"/>
      <c r="I11" s="231"/>
      <c r="J11" s="232"/>
      <c r="K11" s="222"/>
      <c r="X11" s="233"/>
      <c r="Y11" s="222"/>
      <c r="AA11" s="197"/>
      <c r="AB11" s="209"/>
      <c r="AC11" s="208"/>
      <c r="AD11" s="208"/>
      <c r="AE11" s="208"/>
      <c r="AF11" s="209"/>
      <c r="AG11" s="208"/>
      <c r="AH11" s="208"/>
      <c r="AI11" s="208"/>
      <c r="AJ11" s="209"/>
      <c r="AK11" s="208"/>
      <c r="AL11" s="208"/>
      <c r="AM11" s="208"/>
      <c r="AN11" s="209"/>
      <c r="AO11" s="208"/>
      <c r="AP11" s="208"/>
      <c r="AQ11" s="208"/>
      <c r="AR11" s="209"/>
      <c r="AS11" s="208"/>
      <c r="AT11" s="208"/>
      <c r="AU11" s="208"/>
      <c r="AV11" s="209"/>
      <c r="AW11" s="208"/>
      <c r="AX11" s="208"/>
      <c r="AY11" s="208"/>
      <c r="AZ11" s="209"/>
      <c r="BA11" s="208"/>
      <c r="BB11" s="208"/>
      <c r="BC11" s="208"/>
      <c r="BD11" s="209"/>
      <c r="BE11" s="208"/>
      <c r="BF11" s="208"/>
      <c r="BG11" s="208"/>
      <c r="BH11" s="209"/>
      <c r="BI11" s="208"/>
      <c r="BJ11" s="208"/>
      <c r="BK11" s="208"/>
      <c r="BL11" s="209"/>
      <c r="BM11" s="208"/>
      <c r="BN11" s="208"/>
      <c r="BO11" s="208"/>
      <c r="BP11" s="209"/>
      <c r="BQ11" s="208"/>
      <c r="BR11" s="208"/>
      <c r="BS11" s="208"/>
      <c r="BT11" s="209"/>
      <c r="BU11" s="208"/>
      <c r="BV11" s="208"/>
      <c r="BW11" s="208"/>
      <c r="BX11" s="209"/>
      <c r="BY11" s="208"/>
      <c r="BZ11" s="208"/>
      <c r="CA11" s="208"/>
      <c r="CB11" s="209"/>
      <c r="CC11" s="208"/>
      <c r="CD11" s="208"/>
      <c r="CE11" s="208"/>
      <c r="CF11" s="209"/>
      <c r="CG11" s="208"/>
      <c r="CH11" s="208"/>
      <c r="CI11" s="208"/>
      <c r="CJ11" s="209"/>
      <c r="CK11" s="208"/>
      <c r="CL11" s="208"/>
      <c r="CM11" s="208"/>
      <c r="CN11" s="209"/>
      <c r="CO11" s="208"/>
      <c r="CP11" s="208"/>
      <c r="CQ11" s="210"/>
      <c r="CR11" s="280"/>
      <c r="CS11" s="280"/>
      <c r="CT11" s="284" t="s">
        <v>87</v>
      </c>
      <c r="CU11" s="1">
        <v>4</v>
      </c>
      <c r="CV11" s="280"/>
      <c r="CW11" s="280"/>
      <c r="CX11" s="348" t="s">
        <v>88</v>
      </c>
      <c r="CY11" s="285">
        <v>2</v>
      </c>
      <c r="CZ11" s="287">
        <v>1</v>
      </c>
      <c r="DA11" s="287">
        <v>1</v>
      </c>
      <c r="DB11" s="287">
        <v>1</v>
      </c>
      <c r="DC11" s="287" t="s">
        <v>26</v>
      </c>
      <c r="DD11" s="287"/>
      <c r="DE11" s="287">
        <v>1</v>
      </c>
      <c r="DF11" s="287">
        <v>1</v>
      </c>
      <c r="DG11" s="287">
        <v>1</v>
      </c>
      <c r="DH11" s="287">
        <v>1</v>
      </c>
      <c r="DI11" s="287">
        <f>EQ5</f>
        <v>2</v>
      </c>
      <c r="DJ11" s="287">
        <f>EQ5</f>
        <v>2</v>
      </c>
      <c r="DK11" s="287">
        <v>1</v>
      </c>
      <c r="DL11" s="287">
        <v>1</v>
      </c>
      <c r="DM11" s="287">
        <v>2</v>
      </c>
      <c r="DN11" s="288">
        <v>1</v>
      </c>
      <c r="DO11" s="199"/>
      <c r="DP11" s="285" t="s">
        <v>26</v>
      </c>
      <c r="DQ11" s="287" t="s">
        <v>26</v>
      </c>
      <c r="DR11" s="287" t="s">
        <v>26</v>
      </c>
      <c r="DS11" s="287" t="s">
        <v>26</v>
      </c>
      <c r="DT11" s="287" t="s">
        <v>26</v>
      </c>
      <c r="DU11" s="287"/>
      <c r="DV11" s="287" t="s">
        <v>26</v>
      </c>
      <c r="DW11" s="287" t="s">
        <v>26</v>
      </c>
      <c r="DX11" s="287" t="s">
        <v>26</v>
      </c>
      <c r="DY11" s="287" t="s">
        <v>26</v>
      </c>
      <c r="DZ11" s="287" t="s">
        <v>26</v>
      </c>
      <c r="EA11" s="287" t="s">
        <v>26</v>
      </c>
      <c r="EB11" s="287" t="s">
        <v>26</v>
      </c>
      <c r="EC11" s="287" t="s">
        <v>26</v>
      </c>
      <c r="ED11" s="287" t="s">
        <v>26</v>
      </c>
      <c r="EE11" s="288" t="e">
        <f ca="1">VLOOKUP(3,$X$61:$Y$63,2,FALSE)</f>
        <v>#N/A</v>
      </c>
      <c r="EF11" s="199"/>
      <c r="EG11" s="199"/>
      <c r="EH11" s="199"/>
      <c r="EI11" s="199"/>
      <c r="EJ11" s="199"/>
      <c r="EK11" s="199"/>
      <c r="EL11" s="280"/>
      <c r="EM11" s="199">
        <v>10</v>
      </c>
      <c r="EN11" s="199"/>
      <c r="EO11" s="199"/>
      <c r="EP11" s="199"/>
      <c r="EQ11" s="199"/>
      <c r="ER11" s="199"/>
      <c r="ES11" s="199"/>
      <c r="ET11" s="199"/>
      <c r="EU11" s="199"/>
      <c r="EV11" s="199"/>
      <c r="EW11" s="199"/>
      <c r="EX11" s="199"/>
      <c r="EY11" s="285"/>
      <c r="EZ11" s="286"/>
      <c r="FA11" s="286"/>
      <c r="FB11" s="286"/>
      <c r="FC11" s="286"/>
      <c r="FD11" s="286"/>
      <c r="FE11" s="286"/>
      <c r="FF11" s="286"/>
      <c r="FG11" s="286"/>
      <c r="FH11" s="286"/>
      <c r="FI11" s="286"/>
      <c r="FJ11" s="286"/>
      <c r="FK11" s="287"/>
      <c r="FL11" s="287"/>
      <c r="FM11" s="287"/>
      <c r="FN11" s="287"/>
      <c r="FO11" s="287"/>
      <c r="FP11" s="288"/>
      <c r="FQ11" s="280"/>
      <c r="FR11" s="280"/>
      <c r="FS11" s="199"/>
      <c r="FT11" s="199"/>
      <c r="FU11" s="212"/>
      <c r="FV11" s="212"/>
      <c r="FW11" s="212"/>
      <c r="FX11" s="280"/>
    </row>
    <row r="12" spans="1:180" s="293" customFormat="1" ht="27.6" x14ac:dyDescent="0.3">
      <c r="C12" s="341" t="str">
        <f>HLOOKUP($A$3,TourDeJeu,28,FALSE)</f>
        <v>Tour n°2</v>
      </c>
      <c r="D12" s="342"/>
      <c r="E12" s="342"/>
      <c r="F12" s="342"/>
      <c r="G12" s="342"/>
      <c r="H12" s="342"/>
      <c r="I12" s="342"/>
      <c r="J12" s="342"/>
      <c r="K12" s="343"/>
      <c r="L12" s="202"/>
      <c r="M12" s="202"/>
      <c r="N12" s="202"/>
      <c r="O12" s="341" t="str">
        <f>HLOOKUP($A$3,TourDeJeu2,28,FALSE)</f>
        <v>_</v>
      </c>
      <c r="P12" s="342"/>
      <c r="Q12" s="342"/>
      <c r="R12" s="342"/>
      <c r="S12" s="342"/>
      <c r="T12" s="342"/>
      <c r="U12" s="342"/>
      <c r="V12" s="342"/>
      <c r="W12" s="342"/>
      <c r="X12" s="343"/>
      <c r="Y12" s="202"/>
      <c r="AA12" s="197"/>
      <c r="AB12" s="209"/>
      <c r="AC12" s="208"/>
      <c r="AD12" s="234"/>
      <c r="AE12" s="301"/>
      <c r="AF12" s="209"/>
      <c r="AG12" s="208"/>
      <c r="AH12" s="234"/>
      <c r="AI12" s="301"/>
      <c r="AJ12" s="209"/>
      <c r="AK12" s="208"/>
      <c r="AL12" s="234"/>
      <c r="AM12" s="301"/>
      <c r="AN12" s="209"/>
      <c r="AO12" s="208"/>
      <c r="AP12" s="234"/>
      <c r="AQ12" s="301"/>
      <c r="AR12" s="209"/>
      <c r="AS12" s="208"/>
      <c r="AT12" s="234"/>
      <c r="AU12" s="301"/>
      <c r="AV12" s="209"/>
      <c r="AW12" s="208"/>
      <c r="AX12" s="234"/>
      <c r="AY12" s="301"/>
      <c r="AZ12" s="209"/>
      <c r="BA12" s="208"/>
      <c r="BB12" s="234"/>
      <c r="BC12" s="301"/>
      <c r="BD12" s="209"/>
      <c r="BE12" s="208"/>
      <c r="BF12" s="234"/>
      <c r="BG12" s="301"/>
      <c r="BH12" s="209"/>
      <c r="BI12" s="208"/>
      <c r="BJ12" s="234"/>
      <c r="BK12" s="301"/>
      <c r="BL12" s="209"/>
      <c r="BM12" s="208"/>
      <c r="BN12" s="234"/>
      <c r="BO12" s="301"/>
      <c r="BP12" s="209"/>
      <c r="BQ12" s="208"/>
      <c r="BR12" s="234"/>
      <c r="BS12" s="301"/>
      <c r="BT12" s="209"/>
      <c r="BU12" s="208"/>
      <c r="BV12" s="234"/>
      <c r="BW12" s="301"/>
      <c r="BX12" s="209"/>
      <c r="BY12" s="208"/>
      <c r="BZ12" s="234"/>
      <c r="CA12" s="301"/>
      <c r="CB12" s="209"/>
      <c r="CC12" s="208"/>
      <c r="CD12" s="234"/>
      <c r="CE12" s="301"/>
      <c r="CF12" s="209"/>
      <c r="CG12" s="208"/>
      <c r="CH12" s="234"/>
      <c r="CI12" s="301"/>
      <c r="CJ12" s="209"/>
      <c r="CK12" s="208"/>
      <c r="CL12" s="234"/>
      <c r="CM12" s="301"/>
      <c r="CN12" s="209"/>
      <c r="CO12" s="208"/>
      <c r="CP12" s="208"/>
      <c r="CQ12" s="210"/>
      <c r="CR12" s="280"/>
      <c r="CS12" s="280"/>
      <c r="CT12" s="284" t="s">
        <v>89</v>
      </c>
      <c r="CU12" s="1" t="s">
        <v>10</v>
      </c>
      <c r="CV12" s="280"/>
      <c r="CW12" s="280"/>
      <c r="CX12" s="348"/>
      <c r="CY12" s="289">
        <v>1</v>
      </c>
      <c r="CZ12" s="291">
        <v>2</v>
      </c>
      <c r="DA12" s="291">
        <f>EQ6</f>
        <v>5</v>
      </c>
      <c r="DB12" s="291">
        <f>EQ6</f>
        <v>5</v>
      </c>
      <c r="DC12" s="291" t="s">
        <v>26</v>
      </c>
      <c r="DD12" s="291"/>
      <c r="DE12" s="291">
        <f>EQ6</f>
        <v>5</v>
      </c>
      <c r="DF12" s="291">
        <f>ER6</f>
        <v>4</v>
      </c>
      <c r="DG12" s="291">
        <v>2</v>
      </c>
      <c r="DH12" s="291">
        <v>2</v>
      </c>
      <c r="DI12" s="291">
        <f>EQ8</f>
        <v>3</v>
      </c>
      <c r="DJ12" s="291">
        <f>EQ8</f>
        <v>3</v>
      </c>
      <c r="DK12" s="291">
        <v>5</v>
      </c>
      <c r="DL12" s="291">
        <v>5</v>
      </c>
      <c r="DM12" s="291">
        <v>6</v>
      </c>
      <c r="DN12" s="292">
        <f>$EQ$6</f>
        <v>5</v>
      </c>
      <c r="DO12" s="199"/>
      <c r="DP12" s="289" t="s">
        <v>26</v>
      </c>
      <c r="DQ12" s="291" t="s">
        <v>26</v>
      </c>
      <c r="DR12" s="291" t="s">
        <v>26</v>
      </c>
      <c r="DS12" s="291" t="s">
        <v>26</v>
      </c>
      <c r="DT12" s="291" t="s">
        <v>26</v>
      </c>
      <c r="DU12" s="291"/>
      <c r="DV12" s="291" t="s">
        <v>26</v>
      </c>
      <c r="DW12" s="291" t="s">
        <v>26</v>
      </c>
      <c r="DX12" s="291" t="s">
        <v>26</v>
      </c>
      <c r="DY12" s="291" t="s">
        <v>26</v>
      </c>
      <c r="DZ12" s="291" t="s">
        <v>26</v>
      </c>
      <c r="EA12" s="291" t="s">
        <v>26</v>
      </c>
      <c r="EB12" s="291" t="s">
        <v>26</v>
      </c>
      <c r="EC12" s="291" t="s">
        <v>26</v>
      </c>
      <c r="ED12" s="291" t="s">
        <v>26</v>
      </c>
      <c r="EE12" s="288">
        <f ca="1">VLOOKUP(3,X65:Y67,2,FALSE)</f>
        <v>5</v>
      </c>
      <c r="EF12" s="199"/>
      <c r="EG12" s="199"/>
      <c r="EH12" s="199"/>
      <c r="EI12" s="199"/>
      <c r="EJ12" s="199"/>
      <c r="EK12" s="199"/>
      <c r="EL12" s="199">
        <v>5</v>
      </c>
      <c r="EM12" s="199">
        <v>11</v>
      </c>
      <c r="EN12" s="199"/>
      <c r="EO12" s="199"/>
      <c r="EP12" s="199" t="s">
        <v>90</v>
      </c>
      <c r="EQ12" s="199" t="e">
        <f>VLOOKUP($EP$12,$EN$36:$EP$38,3,FALSE)</f>
        <v>#N/A</v>
      </c>
      <c r="ER12" s="199" t="str">
        <f t="shared" ref="ER12:ER17" si="16">IF(ISERROR(EQ12),"@",EQ12)</f>
        <v>@</v>
      </c>
      <c r="ES12" s="199"/>
      <c r="ET12" s="199"/>
      <c r="EU12" s="199"/>
      <c r="EV12" s="199"/>
      <c r="EW12" s="199"/>
      <c r="EX12" s="199"/>
      <c r="EY12" s="289"/>
      <c r="EZ12" s="290"/>
      <c r="FA12" s="290"/>
      <c r="FB12" s="290"/>
      <c r="FC12" s="290"/>
      <c r="FD12" s="290"/>
      <c r="FE12" s="290"/>
      <c r="FF12" s="290"/>
      <c r="FG12" s="290"/>
      <c r="FH12" s="290"/>
      <c r="FI12" s="290"/>
      <c r="FJ12" s="290"/>
      <c r="FK12" s="291"/>
      <c r="FL12" s="291"/>
      <c r="FM12" s="291"/>
      <c r="FN12" s="291"/>
      <c r="FO12" s="291"/>
      <c r="FP12" s="292"/>
      <c r="FQ12" s="280"/>
      <c r="FR12" s="280"/>
      <c r="FS12" s="199"/>
      <c r="FT12" s="199"/>
      <c r="FU12" s="212"/>
      <c r="FV12" s="212"/>
      <c r="FW12" s="212"/>
      <c r="FX12" s="280"/>
    </row>
    <row r="13" spans="1:180" s="293" customFormat="1" ht="20.399999999999999" x14ac:dyDescent="0.3">
      <c r="C13" s="302"/>
      <c r="D13" s="302"/>
      <c r="E13" s="302"/>
      <c r="F13" s="302"/>
      <c r="G13" s="303"/>
      <c r="M13" s="279"/>
      <c r="N13" s="279"/>
      <c r="O13" s="276"/>
      <c r="P13" s="279" t="s">
        <v>14</v>
      </c>
      <c r="Q13" s="279" t="s">
        <v>55</v>
      </c>
      <c r="R13" s="279" t="s">
        <v>67</v>
      </c>
      <c r="S13" s="279" t="s">
        <v>68</v>
      </c>
      <c r="T13" s="279" t="s">
        <v>69</v>
      </c>
      <c r="U13" s="279" t="s">
        <v>70</v>
      </c>
      <c r="V13" s="279"/>
      <c r="W13" s="279"/>
      <c r="X13" s="279" t="s">
        <v>71</v>
      </c>
      <c r="Y13" s="279" t="s">
        <v>109</v>
      </c>
      <c r="AA13" s="235" t="s">
        <v>91</v>
      </c>
      <c r="AB13" s="209"/>
      <c r="AC13" s="236" t="s">
        <v>91</v>
      </c>
      <c r="AD13" s="237">
        <f>IF(ISERROR(AE13),0,AE13)</f>
        <v>4.9811320754716979</v>
      </c>
      <c r="AE13" s="210">
        <f>AD9/AD21</f>
        <v>4.9811320754716979</v>
      </c>
      <c r="AF13" s="209"/>
      <c r="AG13" s="236" t="s">
        <v>91</v>
      </c>
      <c r="AH13" s="237">
        <f>IF(ISERROR(AI13),0,AI13)</f>
        <v>3.1538461538461537</v>
      </c>
      <c r="AI13" s="210">
        <f>AH9/AH21</f>
        <v>3.1538461538461537</v>
      </c>
      <c r="AJ13" s="209"/>
      <c r="AK13" s="236" t="s">
        <v>91</v>
      </c>
      <c r="AL13" s="237">
        <f>IF(ISERROR(AM13),0,AM13)</f>
        <v>3.7209302325581395</v>
      </c>
      <c r="AM13" s="210">
        <f>AL9/AL21</f>
        <v>3.7209302325581395</v>
      </c>
      <c r="AN13" s="209"/>
      <c r="AO13" s="236" t="s">
        <v>91</v>
      </c>
      <c r="AP13" s="237">
        <f>IF(ISERROR(AQ13),0,AQ13)</f>
        <v>2.6097560975609757</v>
      </c>
      <c r="AQ13" s="210">
        <f>AP9/AP21</f>
        <v>2.6097560975609757</v>
      </c>
      <c r="AR13" s="209"/>
      <c r="AS13" s="236" t="s">
        <v>91</v>
      </c>
      <c r="AT13" s="237">
        <f>IF(ISERROR(AU13),0,AU13)</f>
        <v>3.506849315068493</v>
      </c>
      <c r="AU13" s="210">
        <f>AT9/AT21</f>
        <v>3.506849315068493</v>
      </c>
      <c r="AV13" s="209"/>
      <c r="AW13" s="236" t="s">
        <v>91</v>
      </c>
      <c r="AX13" s="237">
        <f>IF(ISERROR(AY13),0,AY13)</f>
        <v>0</v>
      </c>
      <c r="AY13" s="210" t="e">
        <f>AX9/AX21</f>
        <v>#DIV/0!</v>
      </c>
      <c r="AZ13" s="209"/>
      <c r="BA13" s="236" t="s">
        <v>91</v>
      </c>
      <c r="BB13" s="237">
        <f>IF(ISERROR(BC13),0,BC13)</f>
        <v>0</v>
      </c>
      <c r="BC13" s="210" t="e">
        <f>BB9/BB21</f>
        <v>#DIV/0!</v>
      </c>
      <c r="BD13" s="209"/>
      <c r="BE13" s="236" t="s">
        <v>91</v>
      </c>
      <c r="BF13" s="237" t="e">
        <f>BF9/BF21</f>
        <v>#DIV/0!</v>
      </c>
      <c r="BG13" s="210"/>
      <c r="BH13" s="209"/>
      <c r="BI13" s="236" t="s">
        <v>91</v>
      </c>
      <c r="BJ13" s="237" t="e">
        <f>BJ9/BJ21</f>
        <v>#DIV/0!</v>
      </c>
      <c r="BK13" s="210"/>
      <c r="BL13" s="209"/>
      <c r="BM13" s="236" t="s">
        <v>91</v>
      </c>
      <c r="BN13" s="237" t="e">
        <f>BN9/BN21</f>
        <v>#DIV/0!</v>
      </c>
      <c r="BO13" s="210"/>
      <c r="BP13" s="209"/>
      <c r="BQ13" s="236" t="s">
        <v>91</v>
      </c>
      <c r="BR13" s="237" t="e">
        <f>BR9/BR21</f>
        <v>#DIV/0!</v>
      </c>
      <c r="BS13" s="210"/>
      <c r="BT13" s="209"/>
      <c r="BU13" s="236" t="s">
        <v>91</v>
      </c>
      <c r="BV13" s="237" t="e">
        <f>BV9/BV21</f>
        <v>#DIV/0!</v>
      </c>
      <c r="BW13" s="210"/>
      <c r="BX13" s="209"/>
      <c r="BY13" s="236" t="s">
        <v>91</v>
      </c>
      <c r="BZ13" s="237" t="e">
        <f>BZ9/BZ21</f>
        <v>#DIV/0!</v>
      </c>
      <c r="CA13" s="210"/>
      <c r="CB13" s="209"/>
      <c r="CC13" s="236" t="s">
        <v>91</v>
      </c>
      <c r="CD13" s="237" t="e">
        <f>CD9/CD21</f>
        <v>#DIV/0!</v>
      </c>
      <c r="CE13" s="210"/>
      <c r="CF13" s="209"/>
      <c r="CG13" s="236" t="s">
        <v>91</v>
      </c>
      <c r="CH13" s="237" t="e">
        <f>CH9/CH21</f>
        <v>#DIV/0!</v>
      </c>
      <c r="CI13" s="210"/>
      <c r="CJ13" s="209"/>
      <c r="CK13" s="236" t="s">
        <v>91</v>
      </c>
      <c r="CL13" s="237" t="e">
        <f>CL9/CL21</f>
        <v>#DIV/0!</v>
      </c>
      <c r="CM13" s="210"/>
      <c r="CN13" s="209"/>
      <c r="CO13" s="208"/>
      <c r="CP13" s="208"/>
      <c r="CQ13" s="210"/>
      <c r="CR13" s="280"/>
      <c r="CS13" s="280"/>
      <c r="CT13" s="284" t="s">
        <v>92</v>
      </c>
      <c r="CU13" s="1">
        <v>4.5</v>
      </c>
      <c r="CV13" s="280"/>
      <c r="CW13" s="280"/>
      <c r="CX13" s="348"/>
      <c r="CY13" s="298"/>
      <c r="CZ13" s="299"/>
      <c r="DA13" s="299"/>
      <c r="DB13" s="299"/>
      <c r="DC13" s="299"/>
      <c r="DD13" s="299"/>
      <c r="DE13" s="299"/>
      <c r="DF13" s="299"/>
      <c r="DG13" s="299"/>
      <c r="DH13" s="299"/>
      <c r="DI13" s="299"/>
      <c r="DJ13" s="299"/>
      <c r="DK13" s="299"/>
      <c r="DL13" s="299"/>
      <c r="DM13" s="299"/>
      <c r="DN13" s="300"/>
      <c r="DO13" s="280"/>
      <c r="DP13" s="298"/>
      <c r="DQ13" s="299"/>
      <c r="DR13" s="299"/>
      <c r="DS13" s="299"/>
      <c r="DT13" s="299"/>
      <c r="DU13" s="299"/>
      <c r="DV13" s="299"/>
      <c r="DW13" s="299"/>
      <c r="DX13" s="299"/>
      <c r="DY13" s="299"/>
      <c r="DZ13" s="299"/>
      <c r="EA13" s="299"/>
      <c r="EB13" s="299"/>
      <c r="EC13" s="299"/>
      <c r="ED13" s="299"/>
      <c r="EE13" s="300"/>
      <c r="EF13" s="280"/>
      <c r="EG13" s="280"/>
      <c r="EH13" s="280"/>
      <c r="EI13" s="280"/>
      <c r="EJ13" s="280"/>
      <c r="EK13" s="280"/>
      <c r="EL13" s="199">
        <v>6</v>
      </c>
      <c r="EM13" s="199">
        <v>12</v>
      </c>
      <c r="EN13" s="199"/>
      <c r="EO13" s="199"/>
      <c r="EP13" s="199" t="s">
        <v>93</v>
      </c>
      <c r="EQ13" s="199" t="e">
        <f>VLOOKUP(EP13,EN39:EP41,3,FALSE)</f>
        <v>#N/A</v>
      </c>
      <c r="ER13" s="199" t="str">
        <f t="shared" si="16"/>
        <v>@</v>
      </c>
      <c r="ES13" s="199"/>
      <c r="ET13" s="199"/>
      <c r="EU13" s="199"/>
      <c r="EV13" s="199"/>
      <c r="EW13" s="199"/>
      <c r="EX13" s="199"/>
      <c r="EY13" s="289"/>
      <c r="EZ13" s="290"/>
      <c r="FA13" s="290"/>
      <c r="FB13" s="290"/>
      <c r="FC13" s="290"/>
      <c r="FD13" s="290"/>
      <c r="FE13" s="290"/>
      <c r="FF13" s="290"/>
      <c r="FG13" s="290"/>
      <c r="FH13" s="290"/>
      <c r="FI13" s="290"/>
      <c r="FJ13" s="290"/>
      <c r="FK13" s="291"/>
      <c r="FL13" s="291"/>
      <c r="FM13" s="291"/>
      <c r="FN13" s="291"/>
      <c r="FO13" s="291"/>
      <c r="FP13" s="292"/>
      <c r="FQ13" s="280"/>
      <c r="FR13" s="280"/>
      <c r="FS13" s="199"/>
      <c r="FT13" s="199"/>
      <c r="FU13" s="212"/>
      <c r="FV13" s="212"/>
      <c r="FW13" s="212"/>
      <c r="FX13" s="280"/>
    </row>
    <row r="14" spans="1:180" s="293" customFormat="1" ht="21.75" customHeight="1" thickBot="1" x14ac:dyDescent="0.35">
      <c r="A14" s="293">
        <f>HLOOKUP($A$3,Scenario1,10,FALSE)</f>
        <v>1</v>
      </c>
      <c r="B14" s="338" t="str">
        <f>IF(Tirage!$H$3="Finale 5 Joueurs","Billard 2","")</f>
        <v>Billard 2</v>
      </c>
      <c r="C14" s="214" t="str">
        <f>VLOOKUP($A14,joueurs,2,FALSE)</f>
        <v>HENWOOD PHILIPPE</v>
      </c>
      <c r="D14" s="339">
        <f>IF(Tirage!$G$17="","",HLOOKUP($A$3,TourDeJeu,33,FALSE))</f>
        <v>80</v>
      </c>
      <c r="E14" s="215">
        <v>45</v>
      </c>
      <c r="F14" s="215">
        <v>9</v>
      </c>
      <c r="G14" s="216">
        <v>12</v>
      </c>
      <c r="H14" s="217">
        <f>IF(F14="","",E14/F14)</f>
        <v>5</v>
      </c>
      <c r="I14" s="218"/>
      <c r="J14" s="219">
        <f>IF(ISBLANK(E14),"",E14/F14+(G14/100))</f>
        <v>5.12</v>
      </c>
      <c r="K14" s="220">
        <f>IF(E14="","",IF(E14&gt;E15,2,IF(E14=E15,1,0)))</f>
        <v>0</v>
      </c>
      <c r="M14" s="293" t="str">
        <f>HLOOKUP($A$3,scenario2,10,FALSE)</f>
        <v>@</v>
      </c>
      <c r="O14" s="214" t="str">
        <f>VLOOKUP($M14,joueurs,2,FALSE)</f>
        <v xml:space="preserve"> </v>
      </c>
      <c r="P14" s="339">
        <f>IF(Tirage!$G$17="","",HLOOKUP($A$3,TourDeJeu,33,FALSE))</f>
        <v>80</v>
      </c>
      <c r="Q14" s="215"/>
      <c r="R14" s="215"/>
      <c r="S14" s="216"/>
      <c r="T14" s="221" t="str">
        <f>IF(R14="","",Q14/R14)</f>
        <v/>
      </c>
      <c r="U14" s="218"/>
      <c r="V14" s="219" t="str">
        <f>IF(ISBLANK(Q14),"",Q14/R14+(S14/100))</f>
        <v/>
      </c>
      <c r="W14" s="238"/>
      <c r="X14" s="220" t="str">
        <f>IF(Q14="","",IF(Q14&gt;Q15,2,IF(Q14=Q15,1,0)))</f>
        <v/>
      </c>
      <c r="Y14" s="220"/>
      <c r="AA14" s="235"/>
      <c r="AB14" s="208"/>
      <c r="AC14" s="208"/>
      <c r="AD14" s="234"/>
      <c r="AE14" s="210"/>
      <c r="AF14" s="208"/>
      <c r="AG14" s="208"/>
      <c r="AH14" s="234"/>
      <c r="AI14" s="210"/>
      <c r="AJ14" s="208"/>
      <c r="AK14" s="208"/>
      <c r="AL14" s="234"/>
      <c r="AM14" s="210"/>
      <c r="AN14" s="208"/>
      <c r="AO14" s="208"/>
      <c r="AP14" s="234"/>
      <c r="AQ14" s="210"/>
      <c r="AR14" s="208"/>
      <c r="AS14" s="208"/>
      <c r="AT14" s="234"/>
      <c r="AU14" s="210"/>
      <c r="AV14" s="208"/>
      <c r="AW14" s="208"/>
      <c r="AX14" s="234"/>
      <c r="AY14" s="210"/>
      <c r="AZ14" s="208"/>
      <c r="BA14" s="208"/>
      <c r="BB14" s="234"/>
      <c r="BC14" s="210"/>
      <c r="BD14" s="208"/>
      <c r="BE14" s="208"/>
      <c r="BF14" s="234"/>
      <c r="BG14" s="210"/>
      <c r="BH14" s="208"/>
      <c r="BI14" s="208"/>
      <c r="BJ14" s="234"/>
      <c r="BK14" s="210"/>
      <c r="BL14" s="208"/>
      <c r="BM14" s="208"/>
      <c r="BN14" s="234"/>
      <c r="BO14" s="210"/>
      <c r="BP14" s="208"/>
      <c r="BQ14" s="208"/>
      <c r="BR14" s="234"/>
      <c r="BS14" s="210"/>
      <c r="BT14" s="208"/>
      <c r="BU14" s="208"/>
      <c r="BV14" s="234"/>
      <c r="BW14" s="210"/>
      <c r="BX14" s="208"/>
      <c r="BY14" s="208"/>
      <c r="BZ14" s="234"/>
      <c r="CA14" s="210"/>
      <c r="CB14" s="208"/>
      <c r="CC14" s="208"/>
      <c r="CD14" s="234"/>
      <c r="CE14" s="210"/>
      <c r="CF14" s="208"/>
      <c r="CG14" s="208"/>
      <c r="CH14" s="234"/>
      <c r="CI14" s="210"/>
      <c r="CJ14" s="208"/>
      <c r="CK14" s="208"/>
      <c r="CL14" s="234"/>
      <c r="CM14" s="210"/>
      <c r="CN14" s="209"/>
      <c r="CO14" s="208"/>
      <c r="CP14" s="208"/>
      <c r="CQ14" s="210"/>
      <c r="CR14" s="280"/>
      <c r="CS14" s="280"/>
      <c r="CT14" s="284" t="s">
        <v>94</v>
      </c>
      <c r="CU14" s="1" t="s">
        <v>18</v>
      </c>
      <c r="CV14" s="280"/>
      <c r="CW14" s="280"/>
      <c r="CX14" s="348"/>
      <c r="CY14" s="289" t="s">
        <v>26</v>
      </c>
      <c r="CZ14" s="291" t="s">
        <v>26</v>
      </c>
      <c r="DA14" s="291" t="s">
        <v>26</v>
      </c>
      <c r="DB14" s="291">
        <v>4</v>
      </c>
      <c r="DC14" s="291" t="s">
        <v>26</v>
      </c>
      <c r="DD14" s="291"/>
      <c r="DE14" s="291" t="s">
        <v>26</v>
      </c>
      <c r="DF14" s="291" t="s">
        <v>26</v>
      </c>
      <c r="DG14" s="291">
        <v>3</v>
      </c>
      <c r="DH14" s="291">
        <v>3</v>
      </c>
      <c r="DI14" s="291">
        <f>EQ6</f>
        <v>5</v>
      </c>
      <c r="DJ14" s="291">
        <f>EQ6</f>
        <v>5</v>
      </c>
      <c r="DK14" s="291">
        <v>2</v>
      </c>
      <c r="DL14" s="291">
        <v>2</v>
      </c>
      <c r="DM14" s="291">
        <v>1</v>
      </c>
      <c r="DN14" s="292">
        <v>4</v>
      </c>
      <c r="DO14" s="199"/>
      <c r="DP14" s="289" t="s">
        <v>26</v>
      </c>
      <c r="DQ14" s="291" t="s">
        <v>26</v>
      </c>
      <c r="DR14" s="291" t="s">
        <v>26</v>
      </c>
      <c r="DS14" s="291" t="s">
        <v>26</v>
      </c>
      <c r="DT14" s="291" t="s">
        <v>26</v>
      </c>
      <c r="DU14" s="291"/>
      <c r="DV14" s="291" t="s">
        <v>26</v>
      </c>
      <c r="DW14" s="291" t="s">
        <v>26</v>
      </c>
      <c r="DX14" s="291" t="s">
        <v>26</v>
      </c>
      <c r="DY14" s="291" t="s">
        <v>26</v>
      </c>
      <c r="DZ14" s="291" t="s">
        <v>26</v>
      </c>
      <c r="EA14" s="291" t="s">
        <v>26</v>
      </c>
      <c r="EB14" s="291" t="s">
        <v>26</v>
      </c>
      <c r="EC14" s="291" t="s">
        <v>26</v>
      </c>
      <c r="ED14" s="291" t="s">
        <v>26</v>
      </c>
      <c r="EE14" s="292" t="s">
        <v>26</v>
      </c>
      <c r="EF14" s="199"/>
      <c r="EG14" s="199"/>
      <c r="EH14" s="199"/>
      <c r="EI14" s="199"/>
      <c r="EJ14" s="199"/>
      <c r="EK14" s="199"/>
      <c r="EL14" s="199">
        <v>4</v>
      </c>
      <c r="EM14" s="199">
        <v>13</v>
      </c>
      <c r="EN14" s="199"/>
      <c r="EO14" s="199"/>
      <c r="EP14" s="199" t="s">
        <v>95</v>
      </c>
      <c r="EQ14" s="199" t="e">
        <f>VLOOKUP($EP$14,$EN$36:$EP$38,3,FALSE)</f>
        <v>#N/A</v>
      </c>
      <c r="ER14" s="199" t="str">
        <f t="shared" si="16"/>
        <v>@</v>
      </c>
      <c r="ES14" s="199"/>
      <c r="ET14" s="199"/>
      <c r="EU14" s="199"/>
      <c r="EV14" s="199"/>
      <c r="EW14" s="199"/>
      <c r="EX14" s="199"/>
      <c r="EY14" s="294"/>
      <c r="EZ14" s="295"/>
      <c r="FA14" s="295"/>
      <c r="FB14" s="295"/>
      <c r="FC14" s="295"/>
      <c r="FD14" s="295"/>
      <c r="FE14" s="295"/>
      <c r="FF14" s="295"/>
      <c r="FG14" s="295"/>
      <c r="FH14" s="295"/>
      <c r="FI14" s="295"/>
      <c r="FJ14" s="295"/>
      <c r="FK14" s="296"/>
      <c r="FL14" s="296"/>
      <c r="FM14" s="296"/>
      <c r="FN14" s="296"/>
      <c r="FO14" s="296"/>
      <c r="FP14" s="297"/>
      <c r="FQ14" s="280"/>
      <c r="FR14" s="280"/>
      <c r="FS14" s="199"/>
      <c r="FT14" s="199"/>
      <c r="FU14" s="212"/>
      <c r="FV14" s="212"/>
      <c r="FW14" s="212"/>
      <c r="FX14" s="280"/>
    </row>
    <row r="15" spans="1:180" s="293" customFormat="1" ht="21" customHeight="1" thickBot="1" x14ac:dyDescent="0.35">
      <c r="A15" s="293">
        <f>HLOOKUP($A$3,Scenario1,11,FALSE)</f>
        <v>5</v>
      </c>
      <c r="B15" s="338"/>
      <c r="C15" s="214" t="str">
        <f>VLOOKUP($A15,joueurs,2,FALSE)</f>
        <v>LACHOQUE DANIEL</v>
      </c>
      <c r="D15" s="340"/>
      <c r="E15" s="215">
        <v>80</v>
      </c>
      <c r="F15" s="223">
        <f>IF(F14="","",F14)</f>
        <v>9</v>
      </c>
      <c r="G15" s="216">
        <v>18</v>
      </c>
      <c r="H15" s="217">
        <f>IF(E15="","",E15/F15)</f>
        <v>8.8888888888888893</v>
      </c>
      <c r="I15" s="224">
        <f>I14</f>
        <v>0</v>
      </c>
      <c r="J15" s="219">
        <f>IF(ISBLANK(E15),"",E15/F15+(G15/100))</f>
        <v>9.068888888888889</v>
      </c>
      <c r="K15" s="220">
        <f>IF(E15="","",IF(E15&gt;E14,2,IF(E15=E14,1,0)))</f>
        <v>2</v>
      </c>
      <c r="M15" s="293" t="str">
        <f>HLOOKUP($A$3,scenario2,11,FALSE)</f>
        <v>@</v>
      </c>
      <c r="O15" s="214" t="str">
        <f>VLOOKUP($M15,joueurs,2,FALSE)</f>
        <v xml:space="preserve"> </v>
      </c>
      <c r="P15" s="340"/>
      <c r="Q15" s="215"/>
      <c r="R15" s="223" t="str">
        <f>IF(R14="","",R14)</f>
        <v/>
      </c>
      <c r="S15" s="216"/>
      <c r="T15" s="221" t="str">
        <f>IF(Q15="","",Q15/R15)</f>
        <v/>
      </c>
      <c r="U15" s="224">
        <f>U14</f>
        <v>0</v>
      </c>
      <c r="V15" s="219" t="str">
        <f>IF(ISBLANK(Q15),"",Q15/R15+(S15/100))</f>
        <v/>
      </c>
      <c r="W15" s="238"/>
      <c r="X15" s="220" t="str">
        <f>IF(Q15="","",IF(Q15&gt;Q14,2,IF(Q15=Q14,1,0)))</f>
        <v/>
      </c>
      <c r="Y15" s="220"/>
      <c r="AA15" s="199" t="s">
        <v>96</v>
      </c>
      <c r="AB15" s="203" t="e">
        <f>VLOOKUP(AC$2,Poule1,4,FALSE)</f>
        <v>#N/A</v>
      </c>
      <c r="AC15" s="208" t="s">
        <v>96</v>
      </c>
      <c r="AD15" s="208">
        <f t="shared" ref="AD15:AD20" si="17">IF(ISERROR(AB15),0,AB15)</f>
        <v>0</v>
      </c>
      <c r="AE15" s="210"/>
      <c r="AF15" s="203">
        <f>VLOOKUP(AG$2,Poule1,4,FALSE)</f>
        <v>24</v>
      </c>
      <c r="AG15" s="208" t="s">
        <v>96</v>
      </c>
      <c r="AH15" s="208">
        <f t="shared" ref="AH15:AH20" si="18">IF(ISERROR(AF15),0,AF15)</f>
        <v>24</v>
      </c>
      <c r="AI15" s="210"/>
      <c r="AJ15" s="203">
        <f>VLOOKUP(AK$2,Poule1,4,FALSE)</f>
        <v>23</v>
      </c>
      <c r="AK15" s="208" t="s">
        <v>96</v>
      </c>
      <c r="AL15" s="208">
        <f t="shared" ref="AL15:AL20" si="19">IF(ISERROR(AJ15),0,AJ15)</f>
        <v>23</v>
      </c>
      <c r="AM15" s="210"/>
      <c r="AN15" s="203">
        <f>VLOOKUP(AO$2,Poule1,4,FALSE)</f>
        <v>23</v>
      </c>
      <c r="AO15" s="208" t="s">
        <v>96</v>
      </c>
      <c r="AP15" s="208">
        <f t="shared" ref="AP15:AP20" si="20">IF(ISERROR(AN15),0,AN15)</f>
        <v>23</v>
      </c>
      <c r="AQ15" s="210"/>
      <c r="AR15" s="203">
        <f>VLOOKUP(AS$2,Poule1,4,FALSE)</f>
        <v>24</v>
      </c>
      <c r="AS15" s="208" t="s">
        <v>96</v>
      </c>
      <c r="AT15" s="208">
        <f t="shared" ref="AT15:AT20" si="21">IF(ISERROR(AR15),0,AR15)</f>
        <v>24</v>
      </c>
      <c r="AU15" s="210"/>
      <c r="AV15" s="203" t="e">
        <f>VLOOKUP(AW$2,Poule1,4,FALSE)</f>
        <v>#N/A</v>
      </c>
      <c r="AW15" s="208" t="s">
        <v>96</v>
      </c>
      <c r="AX15" s="208">
        <f t="shared" ref="AX15:AX20" si="22">IF(ISERROR(AV15),0,AV15)</f>
        <v>0</v>
      </c>
      <c r="AY15" s="210"/>
      <c r="AZ15" s="208" t="e">
        <f>VLOOKUP(BA$2,Poule1,4,FALSE)</f>
        <v>#N/A</v>
      </c>
      <c r="BA15" s="208" t="s">
        <v>96</v>
      </c>
      <c r="BB15" s="208">
        <f t="shared" ref="BB15:BB20" si="23">IF(ISERROR(AZ15),0,AZ15)</f>
        <v>0</v>
      </c>
      <c r="BC15" s="210"/>
      <c r="BD15" s="208" t="e">
        <f>VLOOKUP(BE$2,Poule1,4,FALSE)</f>
        <v>#N/A</v>
      </c>
      <c r="BE15" s="208" t="s">
        <v>96</v>
      </c>
      <c r="BF15" s="208">
        <f t="shared" ref="BF15:BF20" si="24">IF(ISERROR(BD15),0,BD15)</f>
        <v>0</v>
      </c>
      <c r="BG15" s="210"/>
      <c r="BH15" s="208" t="e">
        <f>VLOOKUP(BI$2,Poule1,4,FALSE)</f>
        <v>#N/A</v>
      </c>
      <c r="BI15" s="208" t="s">
        <v>96</v>
      </c>
      <c r="BJ15" s="208">
        <f t="shared" ref="BJ15:BJ20" si="25">IF(ISERROR(BH15),0,BH15)</f>
        <v>0</v>
      </c>
      <c r="BK15" s="210"/>
      <c r="BL15" s="208" t="e">
        <f>VLOOKUP(BM$2,Poule1,4,FALSE)</f>
        <v>#N/A</v>
      </c>
      <c r="BM15" s="208" t="s">
        <v>96</v>
      </c>
      <c r="BN15" s="208">
        <f t="shared" ref="BN15:BN20" si="26">IF(ISERROR(BL15),0,BL15)</f>
        <v>0</v>
      </c>
      <c r="BO15" s="210"/>
      <c r="BP15" s="208" t="e">
        <f>VLOOKUP(BQ$2,Poule1,4,FALSE)</f>
        <v>#N/A</v>
      </c>
      <c r="BQ15" s="208" t="s">
        <v>96</v>
      </c>
      <c r="BR15" s="208">
        <f t="shared" ref="BR15:BR20" si="27">IF(ISERROR(BP15),0,BP15)</f>
        <v>0</v>
      </c>
      <c r="BS15" s="210"/>
      <c r="BT15" s="208" t="e">
        <f>VLOOKUP(BU$2,Poule1,4,FALSE)</f>
        <v>#N/A</v>
      </c>
      <c r="BU15" s="208" t="s">
        <v>96</v>
      </c>
      <c r="BV15" s="208">
        <f t="shared" ref="BV15:BV20" si="28">IF(ISERROR(BT15),0,BT15)</f>
        <v>0</v>
      </c>
      <c r="BW15" s="210"/>
      <c r="BX15" s="208" t="e">
        <f>VLOOKUP(BY$2,Poule1,4,FALSE)</f>
        <v>#N/A</v>
      </c>
      <c r="BY15" s="208" t="s">
        <v>96</v>
      </c>
      <c r="BZ15" s="208">
        <f t="shared" ref="BZ15:BZ20" si="29">IF(ISERROR(BX15),0,BX15)</f>
        <v>0</v>
      </c>
      <c r="CA15" s="210"/>
      <c r="CB15" s="208" t="e">
        <f>VLOOKUP(CC$2,Poule1,4,FALSE)</f>
        <v>#N/A</v>
      </c>
      <c r="CC15" s="208" t="s">
        <v>96</v>
      </c>
      <c r="CD15" s="208">
        <f t="shared" ref="CD15:CD20" si="30">IF(ISERROR(CB15),0,CB15)</f>
        <v>0</v>
      </c>
      <c r="CE15" s="210"/>
      <c r="CF15" s="208" t="e">
        <f>VLOOKUP(CG$2,Poule1,4,FALSE)</f>
        <v>#N/A</v>
      </c>
      <c r="CG15" s="208" t="s">
        <v>96</v>
      </c>
      <c r="CH15" s="208">
        <f t="shared" ref="CH15:CH20" si="31">IF(ISERROR(CF15),0,CF15)</f>
        <v>0</v>
      </c>
      <c r="CI15" s="210"/>
      <c r="CJ15" s="208" t="e">
        <f>VLOOKUP(CK$2,Poule1,4,FALSE)</f>
        <v>#N/A</v>
      </c>
      <c r="CK15" s="208" t="s">
        <v>96</v>
      </c>
      <c r="CL15" s="208">
        <f t="shared" ref="CL15:CL20" si="32">IF(ISERROR(CJ15),0,CJ15)</f>
        <v>0</v>
      </c>
      <c r="CM15" s="210"/>
      <c r="CN15" s="209"/>
      <c r="CO15" s="208"/>
      <c r="CP15" s="208"/>
      <c r="CQ15" s="210"/>
      <c r="CR15" s="280"/>
      <c r="CS15" s="280"/>
      <c r="CT15" s="284" t="s">
        <v>11</v>
      </c>
      <c r="CU15" s="1">
        <v>5</v>
      </c>
      <c r="CV15" s="280"/>
      <c r="CW15" s="280"/>
      <c r="CX15" s="348"/>
      <c r="CY15" s="294" t="s">
        <v>26</v>
      </c>
      <c r="CZ15" s="296" t="s">
        <v>26</v>
      </c>
      <c r="DA15" s="296" t="s">
        <v>26</v>
      </c>
      <c r="DB15" s="296">
        <f>EQ9</f>
        <v>4</v>
      </c>
      <c r="DC15" s="296" t="s">
        <v>26</v>
      </c>
      <c r="DD15" s="296"/>
      <c r="DE15" s="296" t="s">
        <v>26</v>
      </c>
      <c r="DF15" s="296" t="s">
        <v>26</v>
      </c>
      <c r="DG15" s="296">
        <v>4</v>
      </c>
      <c r="DH15" s="296">
        <v>4</v>
      </c>
      <c r="DI15" s="296">
        <f>EQ9</f>
        <v>4</v>
      </c>
      <c r="DJ15" s="296">
        <f>EQ9</f>
        <v>4</v>
      </c>
      <c r="DK15" s="296">
        <v>3</v>
      </c>
      <c r="DL15" s="296">
        <v>3</v>
      </c>
      <c r="DM15" s="296">
        <v>5</v>
      </c>
      <c r="DN15" s="297">
        <f>EQ9</f>
        <v>4</v>
      </c>
      <c r="DO15" s="199"/>
      <c r="DP15" s="294" t="s">
        <v>26</v>
      </c>
      <c r="DQ15" s="296" t="s">
        <v>26</v>
      </c>
      <c r="DR15" s="296" t="s">
        <v>26</v>
      </c>
      <c r="DS15" s="296" t="s">
        <v>26</v>
      </c>
      <c r="DT15" s="296" t="s">
        <v>26</v>
      </c>
      <c r="DU15" s="296"/>
      <c r="DV15" s="296" t="s">
        <v>26</v>
      </c>
      <c r="DW15" s="296" t="s">
        <v>26</v>
      </c>
      <c r="DX15" s="296" t="s">
        <v>26</v>
      </c>
      <c r="DY15" s="296" t="s">
        <v>26</v>
      </c>
      <c r="DZ15" s="296" t="s">
        <v>26</v>
      </c>
      <c r="EA15" s="296" t="s">
        <v>26</v>
      </c>
      <c r="EB15" s="296" t="s">
        <v>26</v>
      </c>
      <c r="EC15" s="296" t="s">
        <v>26</v>
      </c>
      <c r="ED15" s="296" t="s">
        <v>26</v>
      </c>
      <c r="EE15" s="297" t="s">
        <v>26</v>
      </c>
      <c r="EF15" s="199"/>
      <c r="EG15" s="199"/>
      <c r="EH15" s="199"/>
      <c r="EI15" s="199"/>
      <c r="EJ15" s="199"/>
      <c r="EK15" s="199"/>
      <c r="EL15" s="199">
        <v>7</v>
      </c>
      <c r="EM15" s="199">
        <v>14</v>
      </c>
      <c r="EN15" s="199"/>
      <c r="EO15" s="199"/>
      <c r="EP15" s="199" t="s">
        <v>97</v>
      </c>
      <c r="EQ15" s="199" t="e">
        <f>VLOOKUP(EP15,EN39:EP41,3,FALSE)</f>
        <v>#N/A</v>
      </c>
      <c r="ER15" s="199" t="str">
        <f t="shared" si="16"/>
        <v>@</v>
      </c>
      <c r="ES15" s="199"/>
      <c r="ET15" s="199"/>
      <c r="EU15" s="199"/>
      <c r="EV15" s="199"/>
      <c r="EW15" s="199"/>
      <c r="EX15" s="199"/>
      <c r="EY15" s="285"/>
      <c r="EZ15" s="286"/>
      <c r="FA15" s="286"/>
      <c r="FB15" s="286"/>
      <c r="FC15" s="286"/>
      <c r="FD15" s="286"/>
      <c r="FE15" s="286"/>
      <c r="FF15" s="286"/>
      <c r="FG15" s="286"/>
      <c r="FH15" s="286"/>
      <c r="FI15" s="286"/>
      <c r="FJ15" s="286"/>
      <c r="FK15" s="287"/>
      <c r="FL15" s="287"/>
      <c r="FM15" s="287"/>
      <c r="FN15" s="287"/>
      <c r="FO15" s="287"/>
      <c r="FP15" s="288"/>
      <c r="FQ15" s="280"/>
      <c r="FR15" s="280"/>
      <c r="FS15" s="199"/>
      <c r="FT15" s="199"/>
      <c r="FU15" s="212"/>
      <c r="FV15" s="212"/>
      <c r="FW15" s="212"/>
      <c r="FX15" s="280"/>
    </row>
    <row r="16" spans="1:180" s="293" customFormat="1" ht="21" customHeight="1" x14ac:dyDescent="0.3">
      <c r="C16" s="199"/>
      <c r="D16" s="302"/>
      <c r="E16" s="302"/>
      <c r="F16" s="302"/>
      <c r="G16" s="303"/>
      <c r="M16" s="279"/>
      <c r="N16" s="279"/>
      <c r="O16" s="280"/>
      <c r="P16" s="279"/>
      <c r="Q16" s="279"/>
      <c r="R16" s="279"/>
      <c r="S16" s="279"/>
      <c r="T16" s="279"/>
      <c r="U16" s="279"/>
      <c r="V16" s="279"/>
      <c r="W16" s="279"/>
      <c r="X16" s="279"/>
      <c r="Y16" s="279"/>
      <c r="AA16" s="199" t="s">
        <v>98</v>
      </c>
      <c r="AB16" s="207">
        <f>VLOOKUP(AC$2,poule2,4,FALSE)</f>
        <v>9</v>
      </c>
      <c r="AC16" s="208" t="s">
        <v>98</v>
      </c>
      <c r="AD16" s="208">
        <f t="shared" si="17"/>
        <v>9</v>
      </c>
      <c r="AE16" s="208"/>
      <c r="AF16" s="207">
        <f>VLOOKUP(AG$2,poule2,4,FALSE)</f>
        <v>21</v>
      </c>
      <c r="AG16" s="208" t="s">
        <v>98</v>
      </c>
      <c r="AH16" s="208">
        <f t="shared" si="18"/>
        <v>21</v>
      </c>
      <c r="AI16" s="208"/>
      <c r="AJ16" s="207">
        <f>VLOOKUP(AK$2,poule2,4,FALSE)</f>
        <v>21</v>
      </c>
      <c r="AK16" s="208" t="s">
        <v>98</v>
      </c>
      <c r="AL16" s="208">
        <f t="shared" si="19"/>
        <v>21</v>
      </c>
      <c r="AM16" s="208"/>
      <c r="AN16" s="207" t="e">
        <f>VLOOKUP(AO$2,poule2,4,FALSE)</f>
        <v>#N/A</v>
      </c>
      <c r="AO16" s="208" t="s">
        <v>98</v>
      </c>
      <c r="AP16" s="208">
        <f t="shared" si="20"/>
        <v>0</v>
      </c>
      <c r="AQ16" s="208"/>
      <c r="AR16" s="207">
        <f>VLOOKUP(AS$2,poule2,4,FALSE)</f>
        <v>9</v>
      </c>
      <c r="AS16" s="208" t="s">
        <v>98</v>
      </c>
      <c r="AT16" s="208">
        <f t="shared" si="21"/>
        <v>9</v>
      </c>
      <c r="AU16" s="208"/>
      <c r="AV16" s="207" t="e">
        <f>VLOOKUP(AW$2,poule2,4,FALSE)</f>
        <v>#N/A</v>
      </c>
      <c r="AW16" s="208" t="s">
        <v>98</v>
      </c>
      <c r="AX16" s="208">
        <f t="shared" si="22"/>
        <v>0</v>
      </c>
      <c r="AY16" s="208"/>
      <c r="AZ16" s="209" t="e">
        <f>VLOOKUP(BA$2,poule2,4,FALSE)</f>
        <v>#N/A</v>
      </c>
      <c r="BA16" s="208" t="s">
        <v>98</v>
      </c>
      <c r="BB16" s="208">
        <f t="shared" si="23"/>
        <v>0</v>
      </c>
      <c r="BC16" s="208"/>
      <c r="BD16" s="209" t="e">
        <f>VLOOKUP(BE$2,poule2,4,FALSE)</f>
        <v>#N/A</v>
      </c>
      <c r="BE16" s="208" t="s">
        <v>98</v>
      </c>
      <c r="BF16" s="208">
        <f t="shared" si="24"/>
        <v>0</v>
      </c>
      <c r="BG16" s="208"/>
      <c r="BH16" s="209" t="e">
        <f>VLOOKUP(BI$2,poule2,4,FALSE)</f>
        <v>#N/A</v>
      </c>
      <c r="BI16" s="208" t="s">
        <v>98</v>
      </c>
      <c r="BJ16" s="208">
        <f t="shared" si="25"/>
        <v>0</v>
      </c>
      <c r="BK16" s="208"/>
      <c r="BL16" s="209" t="e">
        <f>VLOOKUP(BM$2,poule2,4,FALSE)</f>
        <v>#N/A</v>
      </c>
      <c r="BM16" s="208" t="s">
        <v>98</v>
      </c>
      <c r="BN16" s="208">
        <f t="shared" si="26"/>
        <v>0</v>
      </c>
      <c r="BO16" s="208"/>
      <c r="BP16" s="209" t="e">
        <f>VLOOKUP(BQ$2,poule2,4,FALSE)</f>
        <v>#N/A</v>
      </c>
      <c r="BQ16" s="208" t="s">
        <v>98</v>
      </c>
      <c r="BR16" s="208">
        <f t="shared" si="27"/>
        <v>0</v>
      </c>
      <c r="BS16" s="208"/>
      <c r="BT16" s="209" t="e">
        <f>VLOOKUP(BU$2,poule2,4,FALSE)</f>
        <v>#N/A</v>
      </c>
      <c r="BU16" s="208" t="s">
        <v>98</v>
      </c>
      <c r="BV16" s="208">
        <f t="shared" si="28"/>
        <v>0</v>
      </c>
      <c r="BW16" s="208"/>
      <c r="BX16" s="209" t="e">
        <f>VLOOKUP(BY$2,poule2,4,FALSE)</f>
        <v>#N/A</v>
      </c>
      <c r="BY16" s="208" t="s">
        <v>98</v>
      </c>
      <c r="BZ16" s="208">
        <f t="shared" si="29"/>
        <v>0</v>
      </c>
      <c r="CA16" s="208"/>
      <c r="CB16" s="209" t="e">
        <f>VLOOKUP(CC$2,poule2,4,FALSE)</f>
        <v>#N/A</v>
      </c>
      <c r="CC16" s="208" t="s">
        <v>98</v>
      </c>
      <c r="CD16" s="208">
        <f t="shared" si="30"/>
        <v>0</v>
      </c>
      <c r="CE16" s="208"/>
      <c r="CF16" s="209" t="e">
        <f>VLOOKUP(CG$2,poule2,4,FALSE)</f>
        <v>#N/A</v>
      </c>
      <c r="CG16" s="208" t="s">
        <v>98</v>
      </c>
      <c r="CH16" s="208">
        <f t="shared" si="31"/>
        <v>0</v>
      </c>
      <c r="CI16" s="208"/>
      <c r="CJ16" s="209" t="e">
        <f>VLOOKUP(CK$2,poule2,4,FALSE)</f>
        <v>#N/A</v>
      </c>
      <c r="CK16" s="208" t="s">
        <v>98</v>
      </c>
      <c r="CL16" s="208">
        <f t="shared" si="32"/>
        <v>0</v>
      </c>
      <c r="CM16" s="208"/>
      <c r="CN16" s="209"/>
      <c r="CO16" s="208"/>
      <c r="CP16" s="208"/>
      <c r="CQ16" s="210"/>
      <c r="CR16" s="280"/>
      <c r="CS16" s="280"/>
      <c r="CT16" s="284" t="s">
        <v>99</v>
      </c>
      <c r="CU16" s="1" t="s">
        <v>21</v>
      </c>
      <c r="CV16" s="280"/>
      <c r="CW16" s="280"/>
      <c r="CX16" s="348" t="s">
        <v>77</v>
      </c>
      <c r="CY16" s="285" t="s">
        <v>26</v>
      </c>
      <c r="CZ16" s="287">
        <v>1</v>
      </c>
      <c r="DA16" s="287">
        <v>1</v>
      </c>
      <c r="DB16" s="287">
        <v>1</v>
      </c>
      <c r="DC16" s="287" t="s">
        <v>26</v>
      </c>
      <c r="DD16" s="287"/>
      <c r="DE16" s="287">
        <v>1</v>
      </c>
      <c r="DF16" s="287">
        <v>1</v>
      </c>
      <c r="DG16" s="287" t="s">
        <v>26</v>
      </c>
      <c r="DH16" s="287" t="s">
        <v>26</v>
      </c>
      <c r="DI16" s="287">
        <f>EQ5</f>
        <v>2</v>
      </c>
      <c r="DJ16" s="287">
        <f>EQ5</f>
        <v>2</v>
      </c>
      <c r="DK16" s="287">
        <v>1</v>
      </c>
      <c r="DL16" s="287">
        <v>1</v>
      </c>
      <c r="DM16" s="287">
        <v>2</v>
      </c>
      <c r="DN16" s="288">
        <v>1</v>
      </c>
      <c r="DO16" s="199"/>
      <c r="DP16" s="285" t="s">
        <v>26</v>
      </c>
      <c r="DQ16" s="287" t="s">
        <v>26</v>
      </c>
      <c r="DR16" s="287" t="s">
        <v>26</v>
      </c>
      <c r="DS16" s="287" t="s">
        <v>26</v>
      </c>
      <c r="DT16" s="287" t="s">
        <v>26</v>
      </c>
      <c r="DU16" s="287"/>
      <c r="DV16" s="287" t="s">
        <v>26</v>
      </c>
      <c r="DW16" s="287" t="s">
        <v>26</v>
      </c>
      <c r="DX16" s="287" t="s">
        <v>26</v>
      </c>
      <c r="DY16" s="287" t="s">
        <v>26</v>
      </c>
      <c r="DZ16" s="287" t="s">
        <v>26</v>
      </c>
      <c r="EA16" s="287" t="s">
        <v>26</v>
      </c>
      <c r="EB16" s="287" t="s">
        <v>26</v>
      </c>
      <c r="EC16" s="287" t="s">
        <v>26</v>
      </c>
      <c r="ED16" s="287" t="s">
        <v>26</v>
      </c>
      <c r="EE16" s="288" t="e">
        <f>VLOOKUP(1,L74:M75,2,FALSE)</f>
        <v>#N/A</v>
      </c>
      <c r="EF16" s="199"/>
      <c r="EG16" s="199"/>
      <c r="EH16" s="199"/>
      <c r="EI16" s="199"/>
      <c r="EJ16" s="199"/>
      <c r="EK16" s="199"/>
      <c r="EL16" s="199">
        <v>4</v>
      </c>
      <c r="EM16" s="199">
        <v>15</v>
      </c>
      <c r="EN16" s="199"/>
      <c r="EO16" s="199"/>
      <c r="EP16" s="199" t="s">
        <v>100</v>
      </c>
      <c r="EQ16" s="199" t="e">
        <f>VLOOKUP($EP$16,$EN$36:$EP$38,3,FALSE)</f>
        <v>#N/A</v>
      </c>
      <c r="ER16" s="199" t="str">
        <f t="shared" si="16"/>
        <v>@</v>
      </c>
      <c r="ES16" s="199"/>
      <c r="ET16" s="199"/>
      <c r="EU16" s="199"/>
      <c r="EV16" s="199"/>
      <c r="EW16" s="199"/>
      <c r="EX16" s="199"/>
      <c r="EY16" s="289"/>
      <c r="EZ16" s="290"/>
      <c r="FA16" s="290"/>
      <c r="FB16" s="290"/>
      <c r="FC16" s="290"/>
      <c r="FD16" s="290"/>
      <c r="FE16" s="290"/>
      <c r="FF16" s="290"/>
      <c r="FG16" s="290"/>
      <c r="FH16" s="290"/>
      <c r="FI16" s="290"/>
      <c r="FJ16" s="290"/>
      <c r="FK16" s="291"/>
      <c r="FL16" s="291"/>
      <c r="FM16" s="291"/>
      <c r="FN16" s="291"/>
      <c r="FO16" s="291"/>
      <c r="FP16" s="292"/>
      <c r="FQ16" s="280"/>
      <c r="FR16" s="280"/>
      <c r="FS16" s="199"/>
      <c r="FT16" s="199"/>
      <c r="FU16" s="212"/>
      <c r="FV16" s="212"/>
      <c r="FW16" s="212"/>
      <c r="FX16" s="280"/>
    </row>
    <row r="17" spans="1:180" s="293" customFormat="1" ht="21.75" customHeight="1" x14ac:dyDescent="0.3">
      <c r="A17" s="293">
        <f>HLOOKUP($A$3,Scenario1,13,FALSE)</f>
        <v>2</v>
      </c>
      <c r="B17" s="338" t="str">
        <f>IF(Tirage!$H$3="Finale 5 Joueurs","Billard 1","")</f>
        <v>Billard 1</v>
      </c>
      <c r="C17" s="214" t="str">
        <f>VLOOKUP($A17,joueurs,2,FALSE)</f>
        <v>CASTANER GEORGES</v>
      </c>
      <c r="D17" s="339">
        <f>IF(Tirage!$G$17="","",HLOOKUP($A$3,TourDeJeu,33,FALSE))</f>
        <v>80</v>
      </c>
      <c r="E17" s="215">
        <v>48</v>
      </c>
      <c r="F17" s="215">
        <v>21</v>
      </c>
      <c r="G17" s="216">
        <v>8</v>
      </c>
      <c r="H17" s="217">
        <f>IF(F17="","",E17/F17)</f>
        <v>2.2857142857142856</v>
      </c>
      <c r="I17" s="218"/>
      <c r="J17" s="219">
        <f>IF(ISBLANK(E17),"",E17/F17+(G17/100))</f>
        <v>2.3657142857142857</v>
      </c>
      <c r="K17" s="220">
        <f>IF(E17="","",IF(E17&gt;E18,2,IF(E17=E18,1,0)))</f>
        <v>0</v>
      </c>
      <c r="M17" s="293" t="str">
        <f>HLOOKUP($A$3,scenario2,13,FALSE)</f>
        <v>@</v>
      </c>
      <c r="O17" s="214" t="str">
        <f>VLOOKUP($M17,joueurs,2,FALSE)</f>
        <v xml:space="preserve"> </v>
      </c>
      <c r="P17" s="339">
        <f>IF(Tirage!$G$17="","",HLOOKUP($A$3,TourDeJeu,33,FALSE))</f>
        <v>80</v>
      </c>
      <c r="Q17" s="215"/>
      <c r="R17" s="215"/>
      <c r="S17" s="216"/>
      <c r="T17" s="221" t="str">
        <f>IF(R17="","",Q17/R17)</f>
        <v/>
      </c>
      <c r="U17" s="218"/>
      <c r="V17" s="219" t="str">
        <f>IF(ISBLANK(Q17),"",Q17/R17+(S17/100))</f>
        <v/>
      </c>
      <c r="W17" s="238"/>
      <c r="X17" s="220" t="str">
        <f>IF(Q17="","",IF(Q17&gt;Q18,2,IF(Q17=Q18,1,0)))</f>
        <v/>
      </c>
      <c r="Y17" s="220"/>
      <c r="AA17" s="199" t="s">
        <v>101</v>
      </c>
      <c r="AB17" s="207">
        <f>VLOOKUP(AC$2,poule3,4,FALSE)</f>
        <v>14</v>
      </c>
      <c r="AC17" s="208" t="s">
        <v>101</v>
      </c>
      <c r="AD17" s="208">
        <f t="shared" si="17"/>
        <v>14</v>
      </c>
      <c r="AE17" s="210"/>
      <c r="AF17" s="207" t="e">
        <f>VLOOKUP(AG$2,poule3,4,FALSE)</f>
        <v>#N/A</v>
      </c>
      <c r="AG17" s="208" t="s">
        <v>101</v>
      </c>
      <c r="AH17" s="208">
        <f t="shared" si="18"/>
        <v>0</v>
      </c>
      <c r="AI17" s="210"/>
      <c r="AJ17" s="207">
        <f>VLOOKUP(AK$2,poule3,4,FALSE)</f>
        <v>20</v>
      </c>
      <c r="AK17" s="208" t="s">
        <v>101</v>
      </c>
      <c r="AL17" s="208">
        <f t="shared" si="19"/>
        <v>20</v>
      </c>
      <c r="AM17" s="210"/>
      <c r="AN17" s="207">
        <f>VLOOKUP(AO$2,poule3,4,FALSE)</f>
        <v>14</v>
      </c>
      <c r="AO17" s="208" t="s">
        <v>101</v>
      </c>
      <c r="AP17" s="208">
        <f t="shared" si="20"/>
        <v>14</v>
      </c>
      <c r="AQ17" s="210"/>
      <c r="AR17" s="207">
        <f>VLOOKUP(AS$2,poule3,4,FALSE)</f>
        <v>20</v>
      </c>
      <c r="AS17" s="208" t="s">
        <v>101</v>
      </c>
      <c r="AT17" s="208">
        <f t="shared" si="21"/>
        <v>20</v>
      </c>
      <c r="AU17" s="210"/>
      <c r="AV17" s="207" t="e">
        <f>VLOOKUP(AW$2,poule3,4,FALSE)</f>
        <v>#N/A</v>
      </c>
      <c r="AW17" s="208" t="s">
        <v>101</v>
      </c>
      <c r="AX17" s="208">
        <f t="shared" si="22"/>
        <v>0</v>
      </c>
      <c r="AY17" s="210"/>
      <c r="AZ17" s="213" t="e">
        <f>VLOOKUP(BA$2,poule3,4,FALSE)</f>
        <v>#N/A</v>
      </c>
      <c r="BA17" s="208" t="s">
        <v>101</v>
      </c>
      <c r="BB17" s="208">
        <f t="shared" si="23"/>
        <v>0</v>
      </c>
      <c r="BC17" s="210"/>
      <c r="BD17" s="213" t="e">
        <f>VLOOKUP(BE$2,poule3,4,FALSE)</f>
        <v>#N/A</v>
      </c>
      <c r="BE17" s="208" t="s">
        <v>101</v>
      </c>
      <c r="BF17" s="208">
        <f t="shared" si="24"/>
        <v>0</v>
      </c>
      <c r="BG17" s="210"/>
      <c r="BH17" s="213" t="e">
        <f>VLOOKUP(BI$2,poule3,4,FALSE)</f>
        <v>#N/A</v>
      </c>
      <c r="BI17" s="208" t="s">
        <v>101</v>
      </c>
      <c r="BJ17" s="208">
        <f t="shared" si="25"/>
        <v>0</v>
      </c>
      <c r="BK17" s="210"/>
      <c r="BL17" s="213" t="e">
        <f>VLOOKUP(BM$2,poule3,4,FALSE)</f>
        <v>#N/A</v>
      </c>
      <c r="BM17" s="208" t="s">
        <v>101</v>
      </c>
      <c r="BN17" s="208">
        <f t="shared" si="26"/>
        <v>0</v>
      </c>
      <c r="BO17" s="210"/>
      <c r="BP17" s="213" t="e">
        <f>VLOOKUP(BQ$2,poule3,4,FALSE)</f>
        <v>#N/A</v>
      </c>
      <c r="BQ17" s="208" t="s">
        <v>101</v>
      </c>
      <c r="BR17" s="208">
        <f t="shared" si="27"/>
        <v>0</v>
      </c>
      <c r="BS17" s="210"/>
      <c r="BT17" s="213" t="e">
        <f>VLOOKUP(BU$2,poule3,4,FALSE)</f>
        <v>#N/A</v>
      </c>
      <c r="BU17" s="208" t="s">
        <v>101</v>
      </c>
      <c r="BV17" s="208">
        <f t="shared" si="28"/>
        <v>0</v>
      </c>
      <c r="BW17" s="210"/>
      <c r="BX17" s="213" t="e">
        <f>VLOOKUP(BY$2,poule3,4,FALSE)</f>
        <v>#N/A</v>
      </c>
      <c r="BY17" s="208" t="s">
        <v>101</v>
      </c>
      <c r="BZ17" s="208">
        <f t="shared" si="29"/>
        <v>0</v>
      </c>
      <c r="CA17" s="210"/>
      <c r="CB17" s="213" t="e">
        <f>VLOOKUP(CC$2,poule3,4,FALSE)</f>
        <v>#N/A</v>
      </c>
      <c r="CC17" s="208" t="s">
        <v>101</v>
      </c>
      <c r="CD17" s="208">
        <f t="shared" si="30"/>
        <v>0</v>
      </c>
      <c r="CE17" s="210"/>
      <c r="CF17" s="213" t="e">
        <f>VLOOKUP(CG$2,poule3,4,FALSE)</f>
        <v>#N/A</v>
      </c>
      <c r="CG17" s="208" t="s">
        <v>101</v>
      </c>
      <c r="CH17" s="208">
        <f t="shared" si="31"/>
        <v>0</v>
      </c>
      <c r="CI17" s="210"/>
      <c r="CJ17" s="213" t="e">
        <f>VLOOKUP(CK$2,poule3,4,FALSE)</f>
        <v>#N/A</v>
      </c>
      <c r="CK17" s="208" t="s">
        <v>101</v>
      </c>
      <c r="CL17" s="208">
        <f t="shared" si="32"/>
        <v>0</v>
      </c>
      <c r="CM17" s="210"/>
      <c r="CN17" s="209"/>
      <c r="CO17" s="208"/>
      <c r="CP17" s="208"/>
      <c r="CQ17" s="210"/>
      <c r="CR17" s="280"/>
      <c r="CS17" s="280"/>
      <c r="CT17" s="284" t="s">
        <v>13</v>
      </c>
      <c r="CU17" s="1">
        <v>6</v>
      </c>
      <c r="CV17" s="280"/>
      <c r="CW17" s="280"/>
      <c r="CX17" s="348"/>
      <c r="CY17" s="289" t="s">
        <v>26</v>
      </c>
      <c r="CZ17" s="291">
        <v>2</v>
      </c>
      <c r="DA17" s="291">
        <f>EQ5</f>
        <v>2</v>
      </c>
      <c r="DB17" s="291">
        <f>EQ5</f>
        <v>2</v>
      </c>
      <c r="DC17" s="291" t="s">
        <v>26</v>
      </c>
      <c r="DD17" s="291"/>
      <c r="DE17" s="291">
        <f>EQ5</f>
        <v>2</v>
      </c>
      <c r="DF17" s="291">
        <f>ER5</f>
        <v>3</v>
      </c>
      <c r="DG17" s="291" t="s">
        <v>26</v>
      </c>
      <c r="DH17" s="291" t="s">
        <v>26</v>
      </c>
      <c r="DI17" s="291">
        <f>EQ9</f>
        <v>4</v>
      </c>
      <c r="DJ17" s="291">
        <f>EQ9</f>
        <v>4</v>
      </c>
      <c r="DK17" s="291">
        <v>4</v>
      </c>
      <c r="DL17" s="291">
        <v>4</v>
      </c>
      <c r="DM17" s="291">
        <v>3</v>
      </c>
      <c r="DN17" s="292">
        <f>EQ5</f>
        <v>2</v>
      </c>
      <c r="DO17" s="199"/>
      <c r="DP17" s="289" t="s">
        <v>26</v>
      </c>
      <c r="DQ17" s="291" t="s">
        <v>26</v>
      </c>
      <c r="DR17" s="291" t="s">
        <v>26</v>
      </c>
      <c r="DS17" s="291" t="s">
        <v>26</v>
      </c>
      <c r="DT17" s="291" t="s">
        <v>26</v>
      </c>
      <c r="DU17" s="291"/>
      <c r="DV17" s="291" t="s">
        <v>26</v>
      </c>
      <c r="DW17" s="291" t="s">
        <v>26</v>
      </c>
      <c r="DX17" s="291" t="s">
        <v>26</v>
      </c>
      <c r="DY17" s="291" t="s">
        <v>26</v>
      </c>
      <c r="DZ17" s="291" t="s">
        <v>26</v>
      </c>
      <c r="EA17" s="291" t="s">
        <v>26</v>
      </c>
      <c r="EB17" s="291" t="s">
        <v>26</v>
      </c>
      <c r="EC17" s="291" t="s">
        <v>26</v>
      </c>
      <c r="ED17" s="291" t="s">
        <v>26</v>
      </c>
      <c r="EE17" s="292" t="e">
        <f>VLOOKUP(1,L78:M79,2,FALSE)</f>
        <v>#N/A</v>
      </c>
      <c r="EF17" s="199"/>
      <c r="EG17" s="199"/>
      <c r="EH17" s="199"/>
      <c r="EI17" s="199"/>
      <c r="EJ17" s="199"/>
      <c r="EK17" s="199"/>
      <c r="EL17" s="199">
        <v>5</v>
      </c>
      <c r="EM17" s="199">
        <v>16</v>
      </c>
      <c r="EN17" s="199"/>
      <c r="EO17" s="199"/>
      <c r="EP17" s="199" t="s">
        <v>102</v>
      </c>
      <c r="EQ17" s="199" t="e">
        <f>VLOOKUP(EP17,EN39:EP41,3,FALSE)</f>
        <v>#N/A</v>
      </c>
      <c r="ER17" s="199" t="str">
        <f t="shared" si="16"/>
        <v>@</v>
      </c>
      <c r="ES17" s="199"/>
      <c r="ET17" s="199"/>
      <c r="EU17" s="199"/>
      <c r="EV17" s="199"/>
      <c r="EW17" s="199"/>
      <c r="EX17" s="199"/>
      <c r="EY17" s="289"/>
      <c r="EZ17" s="290"/>
      <c r="FA17" s="290"/>
      <c r="FB17" s="290"/>
      <c r="FC17" s="290"/>
      <c r="FD17" s="290"/>
      <c r="FE17" s="290"/>
      <c r="FF17" s="290"/>
      <c r="FG17" s="290"/>
      <c r="FH17" s="290"/>
      <c r="FI17" s="290"/>
      <c r="FJ17" s="290"/>
      <c r="FK17" s="291"/>
      <c r="FL17" s="291"/>
      <c r="FM17" s="291"/>
      <c r="FN17" s="291"/>
      <c r="FO17" s="291"/>
      <c r="FP17" s="292"/>
      <c r="FQ17" s="280"/>
      <c r="FR17" s="280"/>
      <c r="FS17" s="199"/>
      <c r="FT17" s="199"/>
      <c r="FU17" s="212"/>
      <c r="FV17" s="212"/>
      <c r="FW17" s="212"/>
      <c r="FX17" s="280"/>
    </row>
    <row r="18" spans="1:180" s="293" customFormat="1" ht="21.75" customHeight="1" thickBot="1" x14ac:dyDescent="0.35">
      <c r="A18" s="293">
        <f>HLOOKUP($A$3,Scenario1,14,FALSE)</f>
        <v>3</v>
      </c>
      <c r="B18" s="338"/>
      <c r="C18" s="214" t="str">
        <f>VLOOKUP($A18,joueurs,2,FALSE)</f>
        <v>CREDOT GERALD</v>
      </c>
      <c r="D18" s="340"/>
      <c r="E18" s="215">
        <v>80</v>
      </c>
      <c r="F18" s="223">
        <f>IF(F17="","",F17)</f>
        <v>21</v>
      </c>
      <c r="G18" s="216">
        <v>17</v>
      </c>
      <c r="H18" s="217">
        <f>IF(E18="","",E18/F18)</f>
        <v>3.8095238095238093</v>
      </c>
      <c r="I18" s="224">
        <f>I17</f>
        <v>0</v>
      </c>
      <c r="J18" s="219">
        <f>IF(ISBLANK(E18),"",E18/F18+(G18/100))</f>
        <v>3.9795238095238092</v>
      </c>
      <c r="K18" s="220">
        <f>IF(E18="","",IF(E18&gt;E17,2,IF(E18=E17,1,0)))</f>
        <v>2</v>
      </c>
      <c r="M18" s="293" t="str">
        <f>HLOOKUP($A$3,scenario2,14,FALSE)</f>
        <v>@</v>
      </c>
      <c r="O18" s="214" t="str">
        <f>VLOOKUP($M18,joueurs,2,FALSE)</f>
        <v xml:space="preserve"> </v>
      </c>
      <c r="P18" s="340"/>
      <c r="Q18" s="215"/>
      <c r="R18" s="223" t="str">
        <f>IF(R17="","",R17)</f>
        <v/>
      </c>
      <c r="S18" s="216"/>
      <c r="T18" s="221" t="str">
        <f>IF(Q18="","",Q18/R18)</f>
        <v/>
      </c>
      <c r="U18" s="224">
        <f>U17</f>
        <v>0</v>
      </c>
      <c r="V18" s="219" t="str">
        <f>IF(ISBLANK(Q18),"",Q18/R18+(S18/100))</f>
        <v/>
      </c>
      <c r="W18" s="238"/>
      <c r="X18" s="220" t="str">
        <f>IF(Q18="","",IF(Q18&gt;Q17,2,IF(Q18=Q17,1,0)))</f>
        <v/>
      </c>
      <c r="Y18" s="220"/>
      <c r="AA18" s="199" t="s">
        <v>103</v>
      </c>
      <c r="AB18" s="209">
        <f>VLOOKUP(AC$2,poule4,4,FALSE)</f>
        <v>22</v>
      </c>
      <c r="AC18" s="208" t="s">
        <v>103</v>
      </c>
      <c r="AD18" s="208">
        <f t="shared" si="17"/>
        <v>22</v>
      </c>
      <c r="AE18" s="208"/>
      <c r="AF18" s="209">
        <f>VLOOKUP(AG$2,poule4,4,FALSE)</f>
        <v>25</v>
      </c>
      <c r="AG18" s="208" t="s">
        <v>103</v>
      </c>
      <c r="AH18" s="208">
        <f t="shared" si="18"/>
        <v>25</v>
      </c>
      <c r="AI18" s="208"/>
      <c r="AJ18" s="209">
        <f>VLOOKUP(AK$2,poule4,4,FALSE)</f>
        <v>22</v>
      </c>
      <c r="AK18" s="208" t="s">
        <v>103</v>
      </c>
      <c r="AL18" s="208">
        <f t="shared" si="19"/>
        <v>22</v>
      </c>
      <c r="AM18" s="208"/>
      <c r="AN18" s="209">
        <f>VLOOKUP(AO$2,poule4,4,FALSE)</f>
        <v>25</v>
      </c>
      <c r="AO18" s="208" t="s">
        <v>103</v>
      </c>
      <c r="AP18" s="208">
        <f t="shared" si="20"/>
        <v>25</v>
      </c>
      <c r="AQ18" s="208"/>
      <c r="AR18" s="209" t="e">
        <f>VLOOKUP(AS$2,poule4,4,FALSE)</f>
        <v>#N/A</v>
      </c>
      <c r="AS18" s="208" t="s">
        <v>103</v>
      </c>
      <c r="AT18" s="208">
        <f t="shared" si="21"/>
        <v>0</v>
      </c>
      <c r="AU18" s="208"/>
      <c r="AV18" s="209" t="e">
        <f>VLOOKUP(AW$2,poule4,4,FALSE)</f>
        <v>#N/A</v>
      </c>
      <c r="AW18" s="208" t="s">
        <v>103</v>
      </c>
      <c r="AX18" s="208">
        <f t="shared" si="22"/>
        <v>0</v>
      </c>
      <c r="AY18" s="208"/>
      <c r="AZ18" s="209" t="e">
        <f>VLOOKUP(BA$2,poule4,4,FALSE)</f>
        <v>#N/A</v>
      </c>
      <c r="BA18" s="208" t="s">
        <v>103</v>
      </c>
      <c r="BB18" s="208">
        <f t="shared" si="23"/>
        <v>0</v>
      </c>
      <c r="BC18" s="208"/>
      <c r="BD18" s="209" t="e">
        <f>VLOOKUP(BE$2,poule4,4,FALSE)</f>
        <v>#N/A</v>
      </c>
      <c r="BE18" s="208" t="s">
        <v>103</v>
      </c>
      <c r="BF18" s="208">
        <f t="shared" si="24"/>
        <v>0</v>
      </c>
      <c r="BG18" s="208"/>
      <c r="BH18" s="209" t="e">
        <f>VLOOKUP(BI$2,poule4,4,FALSE)</f>
        <v>#N/A</v>
      </c>
      <c r="BI18" s="208" t="s">
        <v>103</v>
      </c>
      <c r="BJ18" s="208">
        <f t="shared" si="25"/>
        <v>0</v>
      </c>
      <c r="BK18" s="208"/>
      <c r="BL18" s="209" t="e">
        <f>VLOOKUP(BM$2,poule4,4,FALSE)</f>
        <v>#N/A</v>
      </c>
      <c r="BM18" s="208" t="s">
        <v>103</v>
      </c>
      <c r="BN18" s="208">
        <f t="shared" si="26"/>
        <v>0</v>
      </c>
      <c r="BO18" s="208"/>
      <c r="BP18" s="209" t="e">
        <f>VLOOKUP(BQ$2,poule4,4,FALSE)</f>
        <v>#N/A</v>
      </c>
      <c r="BQ18" s="208" t="s">
        <v>103</v>
      </c>
      <c r="BR18" s="208">
        <f t="shared" si="27"/>
        <v>0</v>
      </c>
      <c r="BS18" s="208"/>
      <c r="BT18" s="209" t="e">
        <f>VLOOKUP(BU$2,poule4,4,FALSE)</f>
        <v>#N/A</v>
      </c>
      <c r="BU18" s="208" t="s">
        <v>103</v>
      </c>
      <c r="BV18" s="208">
        <f t="shared" si="28"/>
        <v>0</v>
      </c>
      <c r="BW18" s="208"/>
      <c r="BX18" s="209" t="e">
        <f>VLOOKUP(BY$2,poule4,4,FALSE)</f>
        <v>#N/A</v>
      </c>
      <c r="BY18" s="208" t="s">
        <v>103</v>
      </c>
      <c r="BZ18" s="208">
        <f t="shared" si="29"/>
        <v>0</v>
      </c>
      <c r="CA18" s="208"/>
      <c r="CB18" s="209" t="e">
        <f>VLOOKUP(CC$2,poule4,4,FALSE)</f>
        <v>#N/A</v>
      </c>
      <c r="CC18" s="208" t="s">
        <v>103</v>
      </c>
      <c r="CD18" s="208">
        <f t="shared" si="30"/>
        <v>0</v>
      </c>
      <c r="CE18" s="208"/>
      <c r="CF18" s="209" t="e">
        <f>VLOOKUP(CG$2,poule4,4,FALSE)</f>
        <v>#N/A</v>
      </c>
      <c r="CG18" s="208" t="s">
        <v>103</v>
      </c>
      <c r="CH18" s="208">
        <f t="shared" si="31"/>
        <v>0</v>
      </c>
      <c r="CI18" s="208"/>
      <c r="CJ18" s="209" t="e">
        <f>VLOOKUP(CK$2,poule4,4,FALSE)</f>
        <v>#N/A</v>
      </c>
      <c r="CK18" s="208" t="s">
        <v>103</v>
      </c>
      <c r="CL18" s="208">
        <f t="shared" si="32"/>
        <v>0</v>
      </c>
      <c r="CM18" s="208"/>
      <c r="CN18" s="209"/>
      <c r="CO18" s="208"/>
      <c r="CP18" s="208"/>
      <c r="CQ18" s="210"/>
      <c r="CR18" s="280"/>
      <c r="CS18" s="280"/>
      <c r="CT18" s="284" t="s">
        <v>104</v>
      </c>
      <c r="CU18" s="1" t="s">
        <v>24</v>
      </c>
      <c r="CV18" s="280"/>
      <c r="CW18" s="280"/>
      <c r="CX18" s="348"/>
      <c r="CY18" s="298"/>
      <c r="CZ18" s="299"/>
      <c r="DA18" s="299"/>
      <c r="DB18" s="299"/>
      <c r="DC18" s="299"/>
      <c r="DD18" s="299"/>
      <c r="DE18" s="299"/>
      <c r="DF18" s="299"/>
      <c r="DG18" s="299"/>
      <c r="DH18" s="299"/>
      <c r="DI18" s="299"/>
      <c r="DJ18" s="299"/>
      <c r="DK18" s="299"/>
      <c r="DL18" s="299"/>
      <c r="DM18" s="299"/>
      <c r="DN18" s="300"/>
      <c r="DO18" s="280"/>
      <c r="DP18" s="298"/>
      <c r="DQ18" s="299"/>
      <c r="DR18" s="299"/>
      <c r="DS18" s="299"/>
      <c r="DT18" s="299"/>
      <c r="DU18" s="299"/>
      <c r="DV18" s="299"/>
      <c r="DW18" s="299"/>
      <c r="DX18" s="299"/>
      <c r="DY18" s="299"/>
      <c r="DZ18" s="299"/>
      <c r="EA18" s="299"/>
      <c r="EB18" s="299"/>
      <c r="EC18" s="299"/>
      <c r="ED18" s="299"/>
      <c r="EE18" s="300"/>
      <c r="EF18" s="280"/>
      <c r="EG18" s="280"/>
      <c r="EH18" s="280"/>
      <c r="EI18" s="280"/>
      <c r="EJ18" s="280"/>
      <c r="EK18" s="280"/>
      <c r="EL18" s="199">
        <v>6</v>
      </c>
      <c r="EM18" s="199">
        <v>17</v>
      </c>
      <c r="EN18" s="199"/>
      <c r="EO18" s="199"/>
      <c r="EP18" s="199"/>
      <c r="EQ18" s="199"/>
      <c r="ER18" s="199"/>
      <c r="ES18" s="199"/>
      <c r="ET18" s="199"/>
      <c r="EU18" s="199"/>
      <c r="EV18" s="199"/>
      <c r="EW18" s="199"/>
      <c r="EX18" s="199"/>
      <c r="EY18" s="294"/>
      <c r="EZ18" s="295"/>
      <c r="FA18" s="295"/>
      <c r="FB18" s="295"/>
      <c r="FC18" s="295"/>
      <c r="FD18" s="295"/>
      <c r="FE18" s="295"/>
      <c r="FF18" s="295"/>
      <c r="FG18" s="295"/>
      <c r="FH18" s="295"/>
      <c r="FI18" s="295"/>
      <c r="FJ18" s="295"/>
      <c r="FK18" s="296"/>
      <c r="FL18" s="296"/>
      <c r="FM18" s="296"/>
      <c r="FN18" s="296"/>
      <c r="FO18" s="296"/>
      <c r="FP18" s="297"/>
      <c r="FQ18" s="280"/>
      <c r="FR18" s="280"/>
      <c r="FS18" s="199"/>
      <c r="FT18" s="199"/>
      <c r="FU18" s="212"/>
      <c r="FV18" s="212"/>
      <c r="FW18" s="212"/>
      <c r="FX18" s="280"/>
    </row>
    <row r="19" spans="1:180" s="293" customFormat="1" ht="20.399999999999999" x14ac:dyDescent="0.3">
      <c r="C19" s="302"/>
      <c r="D19" s="302"/>
      <c r="E19" s="302"/>
      <c r="F19" s="302"/>
      <c r="G19" s="303"/>
      <c r="AA19" s="199" t="s">
        <v>105</v>
      </c>
      <c r="AB19" s="209">
        <f>VLOOKUP(AC$2,poule5,4,FALSE)</f>
        <v>8</v>
      </c>
      <c r="AC19" s="208" t="s">
        <v>105</v>
      </c>
      <c r="AD19" s="208">
        <f t="shared" si="17"/>
        <v>8</v>
      </c>
      <c r="AE19" s="208"/>
      <c r="AF19" s="209">
        <f>VLOOKUP(AG$2,poule5,4,FALSE)</f>
        <v>8</v>
      </c>
      <c r="AG19" s="208" t="s">
        <v>105</v>
      </c>
      <c r="AH19" s="208">
        <f t="shared" si="18"/>
        <v>8</v>
      </c>
      <c r="AI19" s="208"/>
      <c r="AJ19" s="209" t="e">
        <f>VLOOKUP(AK$2,poule5,4,FALSE)</f>
        <v>#N/A</v>
      </c>
      <c r="AK19" s="208" t="s">
        <v>105</v>
      </c>
      <c r="AL19" s="208">
        <f t="shared" si="19"/>
        <v>0</v>
      </c>
      <c r="AM19" s="208"/>
      <c r="AN19" s="209">
        <f>VLOOKUP(AO$2,poule5,4,FALSE)</f>
        <v>20</v>
      </c>
      <c r="AO19" s="208" t="s">
        <v>105</v>
      </c>
      <c r="AP19" s="208">
        <f t="shared" si="20"/>
        <v>20</v>
      </c>
      <c r="AQ19" s="208"/>
      <c r="AR19" s="209">
        <f>VLOOKUP(AS$2,poule5,4,FALSE)</f>
        <v>20</v>
      </c>
      <c r="AS19" s="208" t="s">
        <v>105</v>
      </c>
      <c r="AT19" s="208">
        <f t="shared" si="21"/>
        <v>20</v>
      </c>
      <c r="AU19" s="208"/>
      <c r="AV19" s="209" t="e">
        <f>VLOOKUP(AW$2,poule5,4,FALSE)</f>
        <v>#N/A</v>
      </c>
      <c r="AW19" s="208" t="s">
        <v>105</v>
      </c>
      <c r="AX19" s="208">
        <f t="shared" si="22"/>
        <v>0</v>
      </c>
      <c r="AY19" s="208"/>
      <c r="AZ19" s="209" t="e">
        <f>VLOOKUP(BA$2,poule5,4,FALSE)</f>
        <v>#N/A</v>
      </c>
      <c r="BA19" s="208" t="s">
        <v>105</v>
      </c>
      <c r="BB19" s="208">
        <f t="shared" si="23"/>
        <v>0</v>
      </c>
      <c r="BC19" s="208"/>
      <c r="BD19" s="209" t="e">
        <f>VLOOKUP(BE$2,poule5,4,FALSE)</f>
        <v>#N/A</v>
      </c>
      <c r="BE19" s="208" t="s">
        <v>105</v>
      </c>
      <c r="BF19" s="208">
        <f t="shared" si="24"/>
        <v>0</v>
      </c>
      <c r="BG19" s="208"/>
      <c r="BH19" s="209" t="e">
        <f>VLOOKUP(BI$2,poule5,4,FALSE)</f>
        <v>#N/A</v>
      </c>
      <c r="BI19" s="208" t="s">
        <v>105</v>
      </c>
      <c r="BJ19" s="208">
        <f t="shared" si="25"/>
        <v>0</v>
      </c>
      <c r="BK19" s="208"/>
      <c r="BL19" s="209" t="e">
        <f>VLOOKUP(BM$2,poule5,4,FALSE)</f>
        <v>#N/A</v>
      </c>
      <c r="BM19" s="208" t="s">
        <v>105</v>
      </c>
      <c r="BN19" s="208">
        <f t="shared" si="26"/>
        <v>0</v>
      </c>
      <c r="BO19" s="208"/>
      <c r="BP19" s="209" t="e">
        <f>VLOOKUP(BQ$2,poule5,4,FALSE)</f>
        <v>#N/A</v>
      </c>
      <c r="BQ19" s="208" t="s">
        <v>105</v>
      </c>
      <c r="BR19" s="208">
        <f t="shared" si="27"/>
        <v>0</v>
      </c>
      <c r="BS19" s="208"/>
      <c r="BT19" s="209" t="e">
        <f>VLOOKUP(BU$2,poule5,4,FALSE)</f>
        <v>#N/A</v>
      </c>
      <c r="BU19" s="208" t="s">
        <v>105</v>
      </c>
      <c r="BV19" s="208">
        <f t="shared" si="28"/>
        <v>0</v>
      </c>
      <c r="BW19" s="208"/>
      <c r="BX19" s="209" t="e">
        <f>VLOOKUP(BY$2,poule5,4,FALSE)</f>
        <v>#N/A</v>
      </c>
      <c r="BY19" s="208" t="s">
        <v>105</v>
      </c>
      <c r="BZ19" s="208">
        <f t="shared" si="29"/>
        <v>0</v>
      </c>
      <c r="CA19" s="208"/>
      <c r="CB19" s="209" t="e">
        <f>VLOOKUP(CC$2,poule5,4,FALSE)</f>
        <v>#N/A</v>
      </c>
      <c r="CC19" s="208" t="s">
        <v>105</v>
      </c>
      <c r="CD19" s="208">
        <f t="shared" si="30"/>
        <v>0</v>
      </c>
      <c r="CE19" s="208"/>
      <c r="CF19" s="209" t="e">
        <f>VLOOKUP(CG$2,poule5,4,FALSE)</f>
        <v>#N/A</v>
      </c>
      <c r="CG19" s="208" t="s">
        <v>105</v>
      </c>
      <c r="CH19" s="208">
        <f t="shared" si="31"/>
        <v>0</v>
      </c>
      <c r="CI19" s="208"/>
      <c r="CJ19" s="209" t="e">
        <f>VLOOKUP(CK$2,poule5,4,FALSE)</f>
        <v>#N/A</v>
      </c>
      <c r="CK19" s="208" t="s">
        <v>105</v>
      </c>
      <c r="CL19" s="208">
        <f t="shared" si="32"/>
        <v>0</v>
      </c>
      <c r="CM19" s="208"/>
      <c r="CN19" s="209"/>
      <c r="CO19" s="208"/>
      <c r="CP19" s="208"/>
      <c r="CQ19" s="210"/>
      <c r="CR19" s="280"/>
      <c r="CS19" s="280"/>
      <c r="CT19" s="280"/>
      <c r="CU19" s="280"/>
      <c r="CV19" s="280"/>
      <c r="CW19" s="280"/>
      <c r="CX19" s="348"/>
      <c r="CY19" s="289" t="s">
        <v>26</v>
      </c>
      <c r="CZ19" s="291" t="s">
        <v>26</v>
      </c>
      <c r="DA19" s="291" t="s">
        <v>26</v>
      </c>
      <c r="DB19" s="291">
        <v>4</v>
      </c>
      <c r="DC19" s="291" t="s">
        <v>26</v>
      </c>
      <c r="DD19" s="291"/>
      <c r="DE19" s="291" t="s">
        <v>26</v>
      </c>
      <c r="DF19" s="291" t="s">
        <v>26</v>
      </c>
      <c r="DG19" s="291" t="s">
        <v>26</v>
      </c>
      <c r="DH19" s="291" t="s">
        <v>26</v>
      </c>
      <c r="DI19" s="291">
        <f>EQ8</f>
        <v>3</v>
      </c>
      <c r="DJ19" s="291">
        <f>EQ8</f>
        <v>3</v>
      </c>
      <c r="DK19" s="291" t="s">
        <v>26</v>
      </c>
      <c r="DL19" s="291">
        <v>3</v>
      </c>
      <c r="DM19" s="291">
        <v>4</v>
      </c>
      <c r="DN19" s="292">
        <v>4</v>
      </c>
      <c r="DO19" s="199"/>
      <c r="DP19" s="289" t="s">
        <v>26</v>
      </c>
      <c r="DQ19" s="291" t="s">
        <v>26</v>
      </c>
      <c r="DR19" s="291" t="s">
        <v>26</v>
      </c>
      <c r="DS19" s="291" t="s">
        <v>26</v>
      </c>
      <c r="DT19" s="291" t="s">
        <v>26</v>
      </c>
      <c r="DU19" s="291"/>
      <c r="DV19" s="291" t="s">
        <v>26</v>
      </c>
      <c r="DW19" s="291" t="s">
        <v>26</v>
      </c>
      <c r="DX19" s="291" t="s">
        <v>26</v>
      </c>
      <c r="DY19" s="291" t="s">
        <v>26</v>
      </c>
      <c r="DZ19" s="291" t="s">
        <v>26</v>
      </c>
      <c r="EA19" s="291" t="s">
        <v>26</v>
      </c>
      <c r="EB19" s="291" t="s">
        <v>26</v>
      </c>
      <c r="EC19" s="291" t="s">
        <v>26</v>
      </c>
      <c r="ED19" s="291" t="s">
        <v>26</v>
      </c>
      <c r="EE19" s="291">
        <f ca="1">VLOOKUP(1,X61:Y63,2,FALSE)</f>
        <v>3</v>
      </c>
      <c r="EF19" s="199"/>
      <c r="EG19" s="199"/>
      <c r="EH19" s="199"/>
      <c r="EI19" s="199"/>
      <c r="EJ19" s="199"/>
      <c r="EK19" s="199"/>
      <c r="EL19" s="199">
        <v>7</v>
      </c>
      <c r="EM19" s="199">
        <v>18</v>
      </c>
      <c r="EN19" s="199"/>
      <c r="EO19" s="199"/>
      <c r="EP19" s="199"/>
      <c r="EQ19" s="199"/>
      <c r="ER19" s="199"/>
      <c r="ES19" s="199"/>
      <c r="ET19" s="199"/>
      <c r="EU19" s="199"/>
      <c r="EV19" s="199"/>
      <c r="EW19" s="199"/>
      <c r="EX19" s="199"/>
      <c r="EY19" s="199"/>
      <c r="EZ19" s="199"/>
      <c r="FA19" s="199"/>
      <c r="FB19" s="199"/>
      <c r="FC19" s="199"/>
      <c r="FD19" s="199"/>
      <c r="FE19" s="199"/>
      <c r="FF19" s="199"/>
      <c r="FG19" s="199"/>
      <c r="FH19" s="199"/>
      <c r="FI19" s="199"/>
      <c r="FJ19" s="199"/>
      <c r="FK19" s="199"/>
      <c r="FL19" s="199"/>
      <c r="FM19" s="199"/>
      <c r="FN19" s="199"/>
      <c r="FO19" s="199"/>
      <c r="FP19" s="199"/>
      <c r="FQ19" s="280"/>
      <c r="FR19" s="280"/>
      <c r="FS19" s="199"/>
      <c r="FT19" s="199"/>
      <c r="FU19" s="212"/>
      <c r="FV19" s="212"/>
      <c r="FW19" s="212"/>
      <c r="FX19" s="280"/>
    </row>
    <row r="20" spans="1:180" s="293" customFormat="1" ht="21" thickBot="1" x14ac:dyDescent="0.35">
      <c r="C20" s="302"/>
      <c r="D20" s="302"/>
      <c r="E20" s="302"/>
      <c r="F20" s="302"/>
      <c r="G20" s="303"/>
      <c r="O20" s="302"/>
      <c r="P20" s="302"/>
      <c r="U20" s="304"/>
      <c r="AA20" s="199" t="s">
        <v>106</v>
      </c>
      <c r="AB20" s="207" t="e">
        <f>VLOOKUP(AC$2,Poule6,4,FALSE)</f>
        <v>#N/A</v>
      </c>
      <c r="AC20" s="208" t="s">
        <v>106</v>
      </c>
      <c r="AD20" s="208">
        <f t="shared" si="17"/>
        <v>0</v>
      </c>
      <c r="AE20" s="208"/>
      <c r="AF20" s="207" t="e">
        <f>VLOOKUP(AG$2,Poule6,4,FALSE)</f>
        <v>#N/A</v>
      </c>
      <c r="AG20" s="208" t="s">
        <v>106</v>
      </c>
      <c r="AH20" s="208">
        <f t="shared" si="18"/>
        <v>0</v>
      </c>
      <c r="AI20" s="208"/>
      <c r="AJ20" s="207" t="e">
        <f>VLOOKUP(AK$2,Poule6,4,FALSE)</f>
        <v>#N/A</v>
      </c>
      <c r="AK20" s="208" t="s">
        <v>106</v>
      </c>
      <c r="AL20" s="208">
        <f t="shared" si="19"/>
        <v>0</v>
      </c>
      <c r="AM20" s="208"/>
      <c r="AN20" s="207" t="e">
        <f>VLOOKUP(AO$2,Poule6,4,FALSE)</f>
        <v>#N/A</v>
      </c>
      <c r="AO20" s="208" t="s">
        <v>106</v>
      </c>
      <c r="AP20" s="208">
        <f t="shared" si="20"/>
        <v>0</v>
      </c>
      <c r="AQ20" s="208"/>
      <c r="AR20" s="207" t="e">
        <f>VLOOKUP(AS$2,Poule6,4,FALSE)</f>
        <v>#N/A</v>
      </c>
      <c r="AS20" s="208" t="s">
        <v>106</v>
      </c>
      <c r="AT20" s="208">
        <f t="shared" si="21"/>
        <v>0</v>
      </c>
      <c r="AU20" s="208"/>
      <c r="AV20" s="207" t="e">
        <f>VLOOKUP(AW$2,Poule6,4,FALSE)</f>
        <v>#N/A</v>
      </c>
      <c r="AW20" s="208" t="s">
        <v>106</v>
      </c>
      <c r="AX20" s="208">
        <f t="shared" si="22"/>
        <v>0</v>
      </c>
      <c r="AY20" s="208"/>
      <c r="AZ20" s="209" t="e">
        <f>VLOOKUP(BA$2,Poule6,4,FALSE)</f>
        <v>#N/A</v>
      </c>
      <c r="BA20" s="208" t="s">
        <v>106</v>
      </c>
      <c r="BB20" s="208">
        <f t="shared" si="23"/>
        <v>0</v>
      </c>
      <c r="BC20" s="208"/>
      <c r="BD20" s="209" t="e">
        <f>VLOOKUP(BE$2,Poule6,4,FALSE)</f>
        <v>#N/A</v>
      </c>
      <c r="BE20" s="208" t="s">
        <v>106</v>
      </c>
      <c r="BF20" s="208">
        <f t="shared" si="24"/>
        <v>0</v>
      </c>
      <c r="BG20" s="208"/>
      <c r="BH20" s="209" t="e">
        <f>VLOOKUP(BI$2,Poule6,4,FALSE)</f>
        <v>#N/A</v>
      </c>
      <c r="BI20" s="208" t="s">
        <v>106</v>
      </c>
      <c r="BJ20" s="208">
        <f t="shared" si="25"/>
        <v>0</v>
      </c>
      <c r="BK20" s="208"/>
      <c r="BL20" s="209" t="e">
        <f>VLOOKUP(BM$2,Poule6,4,FALSE)</f>
        <v>#N/A</v>
      </c>
      <c r="BM20" s="208" t="s">
        <v>106</v>
      </c>
      <c r="BN20" s="208">
        <f t="shared" si="26"/>
        <v>0</v>
      </c>
      <c r="BO20" s="208"/>
      <c r="BP20" s="209" t="e">
        <f>VLOOKUP(BQ$2,Poule6,4,FALSE)</f>
        <v>#N/A</v>
      </c>
      <c r="BQ20" s="208" t="s">
        <v>106</v>
      </c>
      <c r="BR20" s="208">
        <f t="shared" si="27"/>
        <v>0</v>
      </c>
      <c r="BS20" s="208"/>
      <c r="BT20" s="209" t="e">
        <f>VLOOKUP(BU$2,Poule6,4,FALSE)</f>
        <v>#N/A</v>
      </c>
      <c r="BU20" s="208" t="s">
        <v>106</v>
      </c>
      <c r="BV20" s="208">
        <f t="shared" si="28"/>
        <v>0</v>
      </c>
      <c r="BW20" s="208"/>
      <c r="BX20" s="209" t="e">
        <f>VLOOKUP(BY$2,Poule6,4,FALSE)</f>
        <v>#N/A</v>
      </c>
      <c r="BY20" s="208" t="s">
        <v>106</v>
      </c>
      <c r="BZ20" s="208">
        <f t="shared" si="29"/>
        <v>0</v>
      </c>
      <c r="CA20" s="208"/>
      <c r="CB20" s="209" t="e">
        <f>VLOOKUP(CC$2,Poule6,4,FALSE)</f>
        <v>#N/A</v>
      </c>
      <c r="CC20" s="208" t="s">
        <v>106</v>
      </c>
      <c r="CD20" s="208">
        <f t="shared" si="30"/>
        <v>0</v>
      </c>
      <c r="CE20" s="208"/>
      <c r="CF20" s="209" t="e">
        <f>VLOOKUP(CG$2,Poule6,4,FALSE)</f>
        <v>#N/A</v>
      </c>
      <c r="CG20" s="208" t="s">
        <v>106</v>
      </c>
      <c r="CH20" s="208">
        <f t="shared" si="31"/>
        <v>0</v>
      </c>
      <c r="CI20" s="208"/>
      <c r="CJ20" s="209" t="e">
        <f>VLOOKUP(CK$2,Poule6,4,FALSE)</f>
        <v>#N/A</v>
      </c>
      <c r="CK20" s="208" t="s">
        <v>106</v>
      </c>
      <c r="CL20" s="208">
        <f t="shared" si="32"/>
        <v>0</v>
      </c>
      <c r="CM20" s="208"/>
      <c r="CN20" s="209"/>
      <c r="CO20" s="208"/>
      <c r="CP20" s="208"/>
      <c r="CQ20" s="210"/>
      <c r="CR20" s="280"/>
      <c r="CS20" s="280"/>
      <c r="CT20" s="280"/>
      <c r="CU20" s="280"/>
      <c r="CV20" s="280"/>
      <c r="CW20" s="280"/>
      <c r="CX20" s="348"/>
      <c r="CY20" s="294" t="s">
        <v>26</v>
      </c>
      <c r="CZ20" s="296" t="s">
        <v>26</v>
      </c>
      <c r="DA20" s="296" t="s">
        <v>26</v>
      </c>
      <c r="DB20" s="296">
        <f>EQ8</f>
        <v>3</v>
      </c>
      <c r="DC20" s="296" t="s">
        <v>26</v>
      </c>
      <c r="DD20" s="296"/>
      <c r="DE20" s="296" t="s">
        <v>26</v>
      </c>
      <c r="DF20" s="296" t="s">
        <v>26</v>
      </c>
      <c r="DG20" s="296" t="s">
        <v>26</v>
      </c>
      <c r="DH20" s="296" t="s">
        <v>26</v>
      </c>
      <c r="DI20" s="296">
        <f>EQ6</f>
        <v>5</v>
      </c>
      <c r="DJ20" s="296">
        <f>EQ6</f>
        <v>5</v>
      </c>
      <c r="DK20" s="296" t="s">
        <v>26</v>
      </c>
      <c r="DL20" s="296">
        <v>5</v>
      </c>
      <c r="DM20" s="296">
        <v>6</v>
      </c>
      <c r="DN20" s="297">
        <f>EQ8</f>
        <v>3</v>
      </c>
      <c r="DO20" s="199"/>
      <c r="DP20" s="294" t="s">
        <v>26</v>
      </c>
      <c r="DQ20" s="296" t="s">
        <v>26</v>
      </c>
      <c r="DR20" s="296" t="s">
        <v>26</v>
      </c>
      <c r="DS20" s="296" t="s">
        <v>26</v>
      </c>
      <c r="DT20" s="296" t="s">
        <v>26</v>
      </c>
      <c r="DU20" s="296"/>
      <c r="DV20" s="296" t="s">
        <v>26</v>
      </c>
      <c r="DW20" s="296" t="s">
        <v>26</v>
      </c>
      <c r="DX20" s="296" t="s">
        <v>26</v>
      </c>
      <c r="DY20" s="296" t="s">
        <v>26</v>
      </c>
      <c r="DZ20" s="296" t="s">
        <v>26</v>
      </c>
      <c r="EA20" s="296" t="s">
        <v>26</v>
      </c>
      <c r="EB20" s="296" t="s">
        <v>26</v>
      </c>
      <c r="EC20" s="296" t="s">
        <v>26</v>
      </c>
      <c r="ED20" s="296" t="s">
        <v>26</v>
      </c>
      <c r="EE20" s="296" t="e">
        <f ca="1">VLOOKUP(2,X65:Y67,2,FALSE)</f>
        <v>#N/A</v>
      </c>
      <c r="EF20" s="199"/>
      <c r="EG20" s="199"/>
      <c r="EH20" s="199"/>
      <c r="EI20" s="199"/>
      <c r="EJ20" s="199"/>
      <c r="EK20" s="199"/>
      <c r="EM20" s="199">
        <v>19</v>
      </c>
      <c r="EN20" s="199"/>
      <c r="EO20" s="199"/>
      <c r="EP20" s="199"/>
      <c r="EQ20" s="199"/>
      <c r="ER20" s="199"/>
      <c r="ES20" s="199"/>
      <c r="ET20" s="199"/>
      <c r="EU20" s="199"/>
      <c r="EV20" s="199"/>
      <c r="EW20" s="199"/>
      <c r="EX20" s="199"/>
      <c r="EY20" s="199"/>
      <c r="EZ20" s="199"/>
      <c r="FA20" s="199"/>
      <c r="FB20" s="199"/>
      <c r="FC20" s="199"/>
      <c r="FD20" s="199"/>
      <c r="FE20" s="199"/>
      <c r="FF20" s="199"/>
      <c r="FG20" s="199"/>
      <c r="FH20" s="199"/>
      <c r="FI20" s="199"/>
      <c r="FJ20" s="199"/>
      <c r="FK20" s="199"/>
      <c r="FL20" s="199"/>
      <c r="FM20" s="199"/>
      <c r="FN20" s="199"/>
      <c r="FO20" s="199"/>
      <c r="FP20" s="199"/>
      <c r="FQ20" s="280"/>
      <c r="FR20" s="280"/>
      <c r="FS20" s="199"/>
      <c r="FT20" s="199"/>
      <c r="FU20" s="212"/>
      <c r="FV20" s="212"/>
      <c r="FW20" s="212"/>
      <c r="FX20" s="280"/>
    </row>
    <row r="21" spans="1:180" s="293" customFormat="1" ht="31.5" customHeight="1" x14ac:dyDescent="0.3">
      <c r="C21" s="341" t="str">
        <f>HLOOKUP($A$3,TourDeJeu,29,FALSE)</f>
        <v>Tour n°3</v>
      </c>
      <c r="D21" s="342"/>
      <c r="E21" s="342"/>
      <c r="F21" s="342"/>
      <c r="G21" s="342"/>
      <c r="H21" s="342"/>
      <c r="I21" s="342"/>
      <c r="J21" s="342"/>
      <c r="K21" s="343"/>
      <c r="L21" s="202"/>
      <c r="M21" s="344" t="str">
        <f>HLOOKUP($A$3,TourDeJeu2,30,FALSE)</f>
        <v>_</v>
      </c>
      <c r="N21" s="345"/>
      <c r="O21" s="345"/>
      <c r="P21" s="345"/>
      <c r="Q21" s="345"/>
      <c r="R21" s="345"/>
      <c r="S21" s="345"/>
      <c r="T21" s="345"/>
      <c r="U21" s="345"/>
      <c r="V21" s="345"/>
      <c r="W21" s="345"/>
      <c r="X21" s="345"/>
      <c r="Y21" s="346"/>
      <c r="AA21" s="199" t="s">
        <v>107</v>
      </c>
      <c r="AB21" s="209"/>
      <c r="AC21" s="236" t="s">
        <v>107</v>
      </c>
      <c r="AD21" s="239">
        <f>SUM(AD15:AD20)</f>
        <v>53</v>
      </c>
      <c r="AE21" s="208"/>
      <c r="AF21" s="209"/>
      <c r="AG21" s="236" t="s">
        <v>107</v>
      </c>
      <c r="AH21" s="239">
        <f>SUM(AH15:AH20)</f>
        <v>78</v>
      </c>
      <c r="AI21" s="208"/>
      <c r="AJ21" s="209"/>
      <c r="AK21" s="236" t="s">
        <v>107</v>
      </c>
      <c r="AL21" s="239">
        <f>SUM(AL15:AL20)</f>
        <v>86</v>
      </c>
      <c r="AM21" s="208"/>
      <c r="AN21" s="209"/>
      <c r="AO21" s="236" t="s">
        <v>107</v>
      </c>
      <c r="AP21" s="239">
        <f>SUM(AP15:AP20)</f>
        <v>82</v>
      </c>
      <c r="AQ21" s="208"/>
      <c r="AR21" s="209"/>
      <c r="AS21" s="236" t="s">
        <v>107</v>
      </c>
      <c r="AT21" s="239">
        <f>SUM(AT15:AT20)</f>
        <v>73</v>
      </c>
      <c r="AU21" s="208"/>
      <c r="AV21" s="209"/>
      <c r="AW21" s="236" t="s">
        <v>107</v>
      </c>
      <c r="AX21" s="239">
        <f>SUM(AX15:AX20)</f>
        <v>0</v>
      </c>
      <c r="AY21" s="208"/>
      <c r="AZ21" s="209"/>
      <c r="BA21" s="236" t="s">
        <v>107</v>
      </c>
      <c r="BB21" s="239">
        <f>SUM(BB15:BB20)</f>
        <v>0</v>
      </c>
      <c r="BC21" s="208"/>
      <c r="BD21" s="209"/>
      <c r="BE21" s="236" t="s">
        <v>107</v>
      </c>
      <c r="BF21" s="239">
        <f>SUM(BF15:BF20)</f>
        <v>0</v>
      </c>
      <c r="BG21" s="208"/>
      <c r="BH21" s="209"/>
      <c r="BI21" s="236" t="s">
        <v>107</v>
      </c>
      <c r="BJ21" s="239">
        <f>SUM(BJ15:BJ20)</f>
        <v>0</v>
      </c>
      <c r="BK21" s="208"/>
      <c r="BL21" s="209"/>
      <c r="BM21" s="236" t="s">
        <v>107</v>
      </c>
      <c r="BN21" s="239">
        <f>SUM(BN15:BN20)</f>
        <v>0</v>
      </c>
      <c r="BO21" s="208"/>
      <c r="BP21" s="209"/>
      <c r="BQ21" s="236" t="s">
        <v>107</v>
      </c>
      <c r="BR21" s="239">
        <f>SUM(BR15:BR20)</f>
        <v>0</v>
      </c>
      <c r="BS21" s="208"/>
      <c r="BT21" s="209"/>
      <c r="BU21" s="236" t="s">
        <v>107</v>
      </c>
      <c r="BV21" s="239">
        <f>SUM(BV15:BV20)</f>
        <v>0</v>
      </c>
      <c r="BW21" s="208"/>
      <c r="BX21" s="209"/>
      <c r="BY21" s="236" t="s">
        <v>107</v>
      </c>
      <c r="BZ21" s="239">
        <f>SUM(BZ15:BZ20)</f>
        <v>0</v>
      </c>
      <c r="CA21" s="208"/>
      <c r="CB21" s="209"/>
      <c r="CC21" s="236" t="s">
        <v>107</v>
      </c>
      <c r="CD21" s="239">
        <f>SUM(CD15:CD20)</f>
        <v>0</v>
      </c>
      <c r="CE21" s="208"/>
      <c r="CF21" s="209"/>
      <c r="CG21" s="236" t="s">
        <v>107</v>
      </c>
      <c r="CH21" s="239">
        <f>SUM(CH15:CH20)</f>
        <v>0</v>
      </c>
      <c r="CI21" s="208"/>
      <c r="CJ21" s="209"/>
      <c r="CK21" s="236" t="s">
        <v>107</v>
      </c>
      <c r="CL21" s="239">
        <f>SUM(CL15:CL20)</f>
        <v>0</v>
      </c>
      <c r="CM21" s="208"/>
      <c r="CN21" s="209"/>
      <c r="CO21" s="208"/>
      <c r="CP21" s="208"/>
      <c r="CQ21" s="210"/>
      <c r="CR21" s="280"/>
      <c r="CS21" s="280"/>
      <c r="CT21" s="280"/>
      <c r="CU21" s="280"/>
      <c r="CV21" s="280"/>
      <c r="CW21" s="280"/>
      <c r="CX21" s="240" t="s">
        <v>108</v>
      </c>
      <c r="CY21" s="285" t="s">
        <v>26</v>
      </c>
      <c r="CZ21" s="287" t="s">
        <v>26</v>
      </c>
      <c r="DA21" s="287" t="s">
        <v>26</v>
      </c>
      <c r="DB21" s="287" t="s">
        <v>26</v>
      </c>
      <c r="DC21" s="287" t="s">
        <v>26</v>
      </c>
      <c r="DD21" s="287"/>
      <c r="DE21" s="287" t="s">
        <v>26</v>
      </c>
      <c r="DF21" s="287" t="s">
        <v>26</v>
      </c>
      <c r="DG21" s="287" t="s">
        <v>26</v>
      </c>
      <c r="DH21" s="287">
        <v>5</v>
      </c>
      <c r="DI21" s="287" t="s">
        <v>26</v>
      </c>
      <c r="DJ21" s="287" t="s">
        <v>26</v>
      </c>
      <c r="DK21" s="287" t="s">
        <v>26</v>
      </c>
      <c r="DL21" s="287">
        <v>1</v>
      </c>
      <c r="DM21" s="287" t="s">
        <v>26</v>
      </c>
      <c r="DN21" s="288" t="s">
        <v>26</v>
      </c>
      <c r="DO21" s="199"/>
      <c r="DP21" s="285" t="s">
        <v>26</v>
      </c>
      <c r="DQ21" s="287" t="s">
        <v>26</v>
      </c>
      <c r="DR21" s="287" t="s">
        <v>26</v>
      </c>
      <c r="DS21" s="287" t="s">
        <v>26</v>
      </c>
      <c r="DT21" s="287" t="s">
        <v>26</v>
      </c>
      <c r="DU21" s="287"/>
      <c r="DV21" s="287" t="s">
        <v>26</v>
      </c>
      <c r="DW21" s="287" t="s">
        <v>26</v>
      </c>
      <c r="DX21" s="287" t="s">
        <v>26</v>
      </c>
      <c r="DY21" s="287" t="s">
        <v>26</v>
      </c>
      <c r="DZ21" s="287" t="s">
        <v>26</v>
      </c>
      <c r="EA21" s="287" t="s">
        <v>26</v>
      </c>
      <c r="EB21" s="287" t="s">
        <v>26</v>
      </c>
      <c r="EC21" s="287" t="s">
        <v>26</v>
      </c>
      <c r="ED21" s="287" t="s">
        <v>26</v>
      </c>
      <c r="EE21" s="287" t="e">
        <f ca="1">VLOOKUP(1,X65:Y67,2,FALSE)</f>
        <v>#N/A</v>
      </c>
      <c r="EF21" s="199"/>
      <c r="EG21" s="199"/>
      <c r="EH21" s="199"/>
      <c r="EI21" s="199"/>
      <c r="EJ21" s="199"/>
      <c r="EK21" s="199"/>
      <c r="EM21" s="199">
        <v>20</v>
      </c>
      <c r="EN21" s="199"/>
      <c r="EO21" s="199"/>
      <c r="EP21" s="199"/>
      <c r="EQ21" s="199"/>
      <c r="ER21" s="199"/>
      <c r="ES21" s="199"/>
      <c r="ET21" s="199"/>
      <c r="EU21" s="199"/>
      <c r="EV21" s="199"/>
      <c r="EW21" s="199"/>
      <c r="EX21" s="199"/>
      <c r="EY21" s="199"/>
      <c r="EZ21" s="199"/>
      <c r="FA21" s="199"/>
      <c r="FB21" s="199"/>
      <c r="FC21" s="199"/>
      <c r="FD21" s="199"/>
      <c r="FE21" s="199"/>
      <c r="FF21" s="199"/>
      <c r="FG21" s="199"/>
      <c r="FH21" s="199"/>
      <c r="FI21" s="199"/>
      <c r="FJ21" s="199"/>
      <c r="FK21" s="199"/>
      <c r="FL21" s="199"/>
      <c r="FM21" s="199"/>
      <c r="FN21" s="199"/>
      <c r="FO21" s="199"/>
      <c r="FP21" s="199"/>
      <c r="FQ21" s="280"/>
      <c r="FR21" s="280"/>
      <c r="FS21" s="199"/>
      <c r="FT21" s="199"/>
      <c r="FU21" s="212"/>
      <c r="FV21" s="212"/>
      <c r="FW21" s="212"/>
      <c r="FX21" s="280"/>
    </row>
    <row r="22" spans="1:180" s="293" customFormat="1" ht="21" customHeight="1" x14ac:dyDescent="0.3">
      <c r="C22" s="302"/>
      <c r="D22" s="302"/>
      <c r="E22" s="302"/>
      <c r="F22" s="302"/>
      <c r="G22" s="303"/>
      <c r="M22" s="279"/>
      <c r="N22" s="279"/>
      <c r="O22" s="279"/>
      <c r="P22" s="279"/>
      <c r="Q22" s="279"/>
      <c r="R22" s="279"/>
      <c r="S22" s="279"/>
      <c r="T22" s="279"/>
      <c r="U22" s="279"/>
      <c r="V22" s="279"/>
      <c r="W22" s="279"/>
      <c r="X22" s="279"/>
      <c r="Y22" s="276" t="s">
        <v>109</v>
      </c>
      <c r="AA22" s="199"/>
      <c r="AB22" s="209"/>
      <c r="AC22" s="208"/>
      <c r="AD22" s="208"/>
      <c r="AE22" s="208"/>
      <c r="AF22" s="209"/>
      <c r="AG22" s="208"/>
      <c r="AH22" s="208"/>
      <c r="AI22" s="208"/>
      <c r="AJ22" s="209"/>
      <c r="AK22" s="208"/>
      <c r="AL22" s="208"/>
      <c r="AM22" s="208"/>
      <c r="AN22" s="209"/>
      <c r="AO22" s="208"/>
      <c r="AP22" s="208"/>
      <c r="AQ22" s="208"/>
      <c r="AR22" s="209"/>
      <c r="AS22" s="208"/>
      <c r="AT22" s="208"/>
      <c r="AU22" s="208"/>
      <c r="AV22" s="209"/>
      <c r="AW22" s="208"/>
      <c r="AX22" s="208"/>
      <c r="AY22" s="208"/>
      <c r="AZ22" s="209"/>
      <c r="BA22" s="208"/>
      <c r="BB22" s="208"/>
      <c r="BC22" s="208"/>
      <c r="BD22" s="209"/>
      <c r="BE22" s="208"/>
      <c r="BF22" s="208"/>
      <c r="BG22" s="208"/>
      <c r="BH22" s="209"/>
      <c r="BI22" s="208"/>
      <c r="BJ22" s="208"/>
      <c r="BK22" s="208"/>
      <c r="BL22" s="209"/>
      <c r="BM22" s="208"/>
      <c r="BN22" s="208"/>
      <c r="BO22" s="208"/>
      <c r="BP22" s="209"/>
      <c r="BQ22" s="208"/>
      <c r="BR22" s="208"/>
      <c r="BS22" s="208"/>
      <c r="BT22" s="209"/>
      <c r="BU22" s="208"/>
      <c r="BV22" s="208"/>
      <c r="BW22" s="208"/>
      <c r="BX22" s="209"/>
      <c r="BY22" s="208"/>
      <c r="BZ22" s="208"/>
      <c r="CA22" s="208"/>
      <c r="CB22" s="209"/>
      <c r="CC22" s="208"/>
      <c r="CD22" s="208"/>
      <c r="CE22" s="208"/>
      <c r="CF22" s="209"/>
      <c r="CG22" s="208"/>
      <c r="CH22" s="208"/>
      <c r="CI22" s="208"/>
      <c r="CJ22" s="209"/>
      <c r="CK22" s="208"/>
      <c r="CL22" s="208"/>
      <c r="CM22" s="208"/>
      <c r="CN22" s="209"/>
      <c r="CO22" s="208"/>
      <c r="CP22" s="208"/>
      <c r="CQ22" s="210"/>
      <c r="CR22" s="280"/>
      <c r="CS22" s="280"/>
      <c r="CT22" s="280"/>
      <c r="CU22" s="280"/>
      <c r="CV22" s="280"/>
      <c r="CW22" s="280"/>
      <c r="CX22" s="240"/>
      <c r="CY22" s="289" t="s">
        <v>26</v>
      </c>
      <c r="CZ22" s="291" t="s">
        <v>26</v>
      </c>
      <c r="DA22" s="291" t="s">
        <v>26</v>
      </c>
      <c r="DB22" s="291" t="s">
        <v>26</v>
      </c>
      <c r="DC22" s="291" t="s">
        <v>26</v>
      </c>
      <c r="DD22" s="291"/>
      <c r="DE22" s="291" t="s">
        <v>26</v>
      </c>
      <c r="DF22" s="291" t="s">
        <v>26</v>
      </c>
      <c r="DG22" s="291" t="s">
        <v>26</v>
      </c>
      <c r="DH22" s="291">
        <v>8</v>
      </c>
      <c r="DI22" s="291" t="s">
        <v>26</v>
      </c>
      <c r="DJ22" s="291" t="s">
        <v>26</v>
      </c>
      <c r="DK22" s="291" t="s">
        <v>26</v>
      </c>
      <c r="DL22" s="291">
        <v>3</v>
      </c>
      <c r="DM22" s="291" t="s">
        <v>26</v>
      </c>
      <c r="DN22" s="292" t="s">
        <v>26</v>
      </c>
      <c r="DO22" s="199"/>
      <c r="DP22" s="289" t="s">
        <v>26</v>
      </c>
      <c r="DQ22" s="291" t="s">
        <v>26</v>
      </c>
      <c r="DR22" s="291" t="s">
        <v>26</v>
      </c>
      <c r="DS22" s="291" t="s">
        <v>26</v>
      </c>
      <c r="DT22" s="291" t="s">
        <v>26</v>
      </c>
      <c r="DU22" s="291"/>
      <c r="DV22" s="291" t="s">
        <v>26</v>
      </c>
      <c r="DW22" s="291" t="s">
        <v>26</v>
      </c>
      <c r="DX22" s="291" t="s">
        <v>26</v>
      </c>
      <c r="DY22" s="291" t="s">
        <v>26</v>
      </c>
      <c r="DZ22" s="291" t="s">
        <v>26</v>
      </c>
      <c r="EA22" s="291" t="s">
        <v>26</v>
      </c>
      <c r="EB22" s="291" t="s">
        <v>26</v>
      </c>
      <c r="EC22" s="291" t="s">
        <v>26</v>
      </c>
      <c r="ED22" s="291" t="s">
        <v>26</v>
      </c>
      <c r="EE22" s="291">
        <f ca="1">VLOOKUP(2,X61:Y63,2,FALSE)</f>
        <v>2</v>
      </c>
      <c r="EF22" s="199"/>
      <c r="EG22" s="199"/>
      <c r="EH22" s="199"/>
      <c r="EI22" s="199"/>
      <c r="EJ22" s="199"/>
      <c r="EK22" s="199"/>
      <c r="EM22" s="199">
        <v>21</v>
      </c>
      <c r="EN22" s="199"/>
      <c r="EO22" s="199"/>
      <c r="EP22" s="199"/>
      <c r="EQ22" s="199"/>
      <c r="ER22" s="199"/>
      <c r="ES22" s="199"/>
      <c r="ET22" s="199"/>
      <c r="EU22" s="199"/>
      <c r="EV22" s="199"/>
      <c r="EW22" s="199"/>
      <c r="EX22" s="199"/>
      <c r="EY22" s="199"/>
      <c r="EZ22" s="199"/>
      <c r="FA22" s="199"/>
      <c r="FB22" s="199"/>
      <c r="FC22" s="199"/>
      <c r="FD22" s="199"/>
      <c r="FE22" s="199"/>
      <c r="FF22" s="199"/>
      <c r="FG22" s="199"/>
      <c r="FH22" s="199"/>
      <c r="FI22" s="199"/>
      <c r="FJ22" s="199"/>
      <c r="FK22" s="199"/>
      <c r="FL22" s="199"/>
      <c r="FM22" s="199"/>
      <c r="FN22" s="199"/>
      <c r="FO22" s="199"/>
      <c r="FP22" s="199"/>
      <c r="FQ22" s="280"/>
      <c r="FR22" s="280"/>
      <c r="FS22" s="199"/>
      <c r="FT22" s="280"/>
      <c r="FU22" s="280"/>
      <c r="FV22" s="280"/>
      <c r="FW22" s="280"/>
      <c r="FX22" s="280"/>
    </row>
    <row r="23" spans="1:180" ht="21" customHeight="1" x14ac:dyDescent="0.3">
      <c r="A23" s="293">
        <f>HLOOKUP($A$3,Scenario1,15,FALSE)</f>
        <v>1</v>
      </c>
      <c r="B23" s="338" t="str">
        <f>IF(Tirage!$H$3="Finale 5 Joueurs","Billard 1","")</f>
        <v>Billard 1</v>
      </c>
      <c r="C23" s="214" t="str">
        <f>VLOOKUP($A23,joueurs,2,FALSE)</f>
        <v>HENWOOD PHILIPPE</v>
      </c>
      <c r="D23" s="339">
        <f>IF(Tirage!$G$17="","",HLOOKUP($A$3,TourDeJeu,33,FALSE))</f>
        <v>80</v>
      </c>
      <c r="E23" s="215">
        <v>80</v>
      </c>
      <c r="F23" s="215">
        <v>14</v>
      </c>
      <c r="G23" s="216">
        <v>17</v>
      </c>
      <c r="H23" s="217">
        <f>IF(F23="","",E23/F23)</f>
        <v>5.7142857142857144</v>
      </c>
      <c r="I23" s="218"/>
      <c r="J23" s="219">
        <f>IF(ISBLANK(E23),"",E23/F23+(G23/100))</f>
        <v>5.8842857142857143</v>
      </c>
      <c r="K23" s="220">
        <f>IF(E23="","",IF(E23&gt;E24,2,IF(E23=E24,1,0)))</f>
        <v>2</v>
      </c>
      <c r="L23" s="293"/>
      <c r="M23" s="293" t="str">
        <f>HLOOKUP($A$3,scenario2,18,FALSE)</f>
        <v>@</v>
      </c>
      <c r="N23" s="293"/>
      <c r="O23" s="214" t="str">
        <f>VLOOKUP($M23,joueurs,2,FALSE)</f>
        <v xml:space="preserve"> </v>
      </c>
      <c r="P23" s="339">
        <f>IF(Tirage!$G$17="","",HLOOKUP($A$3,TourDeJeu,33,FALSE))</f>
        <v>80</v>
      </c>
      <c r="Q23" s="215"/>
      <c r="R23" s="215"/>
      <c r="S23" s="216"/>
      <c r="T23" s="221" t="str">
        <f>IF(R23="","",Q23/R23)</f>
        <v/>
      </c>
      <c r="U23" s="218"/>
      <c r="V23" s="219" t="str">
        <f>IF(ISBLANK(Q23),"",Q23/R23)</f>
        <v/>
      </c>
      <c r="W23" s="238"/>
      <c r="X23" s="220" t="str">
        <f>IF(Q23="","",IF(Q23&gt;Q24,2,IF(Q23=Q24,1,0)))</f>
        <v/>
      </c>
      <c r="Y23" s="220"/>
      <c r="Z23" s="222"/>
      <c r="AA23" s="199" t="s">
        <v>110</v>
      </c>
      <c r="AB23" s="207" t="e">
        <f>VLOOKUP(AC$2,Poule1,9,FALSE)</f>
        <v>#N/A</v>
      </c>
      <c r="AC23" s="208" t="s">
        <v>110</v>
      </c>
      <c r="AD23" s="208">
        <f t="shared" ref="AD23:AD28" si="33">IF(ISERROR(AB23),0,AB23)</f>
        <v>0</v>
      </c>
      <c r="AE23" s="208"/>
      <c r="AF23" s="207">
        <f>VLOOKUP(AG$2,Poule1,9,FALSE)</f>
        <v>2</v>
      </c>
      <c r="AG23" s="208" t="s">
        <v>110</v>
      </c>
      <c r="AH23" s="208">
        <f t="shared" ref="AH23:AH28" si="34">IF(ISERROR(AF23),0,AF23)</f>
        <v>2</v>
      </c>
      <c r="AI23" s="208"/>
      <c r="AJ23" s="207">
        <f>VLOOKUP(AK$2,Poule1,9,FALSE)</f>
        <v>2</v>
      </c>
      <c r="AK23" s="208" t="s">
        <v>110</v>
      </c>
      <c r="AL23" s="208">
        <f t="shared" ref="AL23:AL28" si="35">IF(ISERROR(AJ23),0,AJ23)</f>
        <v>2</v>
      </c>
      <c r="AM23" s="208"/>
      <c r="AN23" s="207">
        <f>VLOOKUP(AO$2,Poule1,9,FALSE)</f>
        <v>0</v>
      </c>
      <c r="AO23" s="208" t="s">
        <v>110</v>
      </c>
      <c r="AP23" s="208">
        <f t="shared" ref="AP23:AP28" si="36">IF(ISERROR(AN23),0,AN23)</f>
        <v>0</v>
      </c>
      <c r="AQ23" s="208"/>
      <c r="AR23" s="207">
        <f>VLOOKUP(AS$2,Poule1,9,FALSE)</f>
        <v>0</v>
      </c>
      <c r="AS23" s="208" t="s">
        <v>110</v>
      </c>
      <c r="AT23" s="208">
        <f t="shared" ref="AT23:AT28" si="37">IF(ISERROR(AR23),0,AR23)</f>
        <v>0</v>
      </c>
      <c r="AU23" s="208"/>
      <c r="AV23" s="207" t="e">
        <f>VLOOKUP(AW$2,Poule1,9,FALSE)</f>
        <v>#N/A</v>
      </c>
      <c r="AW23" s="208" t="s">
        <v>110</v>
      </c>
      <c r="AX23" s="208">
        <f t="shared" ref="AX23:AX28" si="38">IF(ISERROR(AV23),0,AV23)</f>
        <v>0</v>
      </c>
      <c r="AY23" s="208"/>
      <c r="AZ23" s="209" t="e">
        <f>VLOOKUP(BA$2,Poule1,9,FALSE)</f>
        <v>#N/A</v>
      </c>
      <c r="BA23" s="208" t="s">
        <v>110</v>
      </c>
      <c r="BB23" s="208">
        <f t="shared" ref="BB23:BB28" si="39">IF(ISERROR(AZ23),0,AZ23)</f>
        <v>0</v>
      </c>
      <c r="BC23" s="208"/>
      <c r="BD23" s="209" t="e">
        <f>VLOOKUP(BE$2,Poule1,9,FALSE)</f>
        <v>#N/A</v>
      </c>
      <c r="BE23" s="208" t="s">
        <v>110</v>
      </c>
      <c r="BF23" s="208">
        <f t="shared" ref="BF23:BF28" si="40">IF(ISERROR(BD23),0,BD23)</f>
        <v>0</v>
      </c>
      <c r="BG23" s="208"/>
      <c r="BH23" s="209" t="e">
        <f>VLOOKUP(BI$2,Poule1,9,FALSE)</f>
        <v>#N/A</v>
      </c>
      <c r="BI23" s="208" t="s">
        <v>110</v>
      </c>
      <c r="BJ23" s="208">
        <f t="shared" ref="BJ23:BJ28" si="41">IF(ISERROR(BH23),0,BH23)</f>
        <v>0</v>
      </c>
      <c r="BK23" s="208"/>
      <c r="BL23" s="209" t="e">
        <f>VLOOKUP(BM$2,Poule1,9,FALSE)</f>
        <v>#N/A</v>
      </c>
      <c r="BM23" s="208" t="s">
        <v>110</v>
      </c>
      <c r="BN23" s="208">
        <f t="shared" ref="BN23:BN28" si="42">IF(ISERROR(BL23),0,BL23)</f>
        <v>0</v>
      </c>
      <c r="BO23" s="208"/>
      <c r="BP23" s="209" t="e">
        <f>VLOOKUP(BQ$2,Poule1,9,FALSE)</f>
        <v>#N/A</v>
      </c>
      <c r="BQ23" s="208" t="s">
        <v>110</v>
      </c>
      <c r="BR23" s="208">
        <f t="shared" ref="BR23:BR28" si="43">IF(ISERROR(BP23),0,BP23)</f>
        <v>0</v>
      </c>
      <c r="BS23" s="208"/>
      <c r="BT23" s="209" t="e">
        <f>VLOOKUP(BU$2,Poule1,9,FALSE)</f>
        <v>#N/A</v>
      </c>
      <c r="BU23" s="208" t="s">
        <v>110</v>
      </c>
      <c r="BV23" s="208">
        <f t="shared" ref="BV23:BV28" si="44">IF(ISERROR(BT23),0,BT23)</f>
        <v>0</v>
      </c>
      <c r="BW23" s="208"/>
      <c r="BX23" s="209" t="e">
        <f>VLOOKUP(BY$2,Poule1,9,FALSE)</f>
        <v>#N/A</v>
      </c>
      <c r="BY23" s="208" t="s">
        <v>110</v>
      </c>
      <c r="BZ23" s="208">
        <f t="shared" ref="BZ23:BZ28" si="45">IF(ISERROR(BX23),0,BX23)</f>
        <v>0</v>
      </c>
      <c r="CA23" s="208"/>
      <c r="CB23" s="209" t="e">
        <f>VLOOKUP(CC$2,Poule1,9,FALSE)</f>
        <v>#N/A</v>
      </c>
      <c r="CC23" s="208" t="s">
        <v>110</v>
      </c>
      <c r="CD23" s="208">
        <f t="shared" ref="CD23:CD28" si="46">IF(ISERROR(CB23),0,CB23)</f>
        <v>0</v>
      </c>
      <c r="CE23" s="208"/>
      <c r="CF23" s="209" t="e">
        <f>VLOOKUP(CG$2,Poule1,9,FALSE)</f>
        <v>#N/A</v>
      </c>
      <c r="CG23" s="208" t="s">
        <v>110</v>
      </c>
      <c r="CH23" s="208">
        <f t="shared" ref="CH23:CH28" si="47">IF(ISERROR(CF23),0,CF23)</f>
        <v>0</v>
      </c>
      <c r="CI23" s="208"/>
      <c r="CJ23" s="209" t="e">
        <f>VLOOKUP(CK$2,Poule1,9,FALSE)</f>
        <v>#N/A</v>
      </c>
      <c r="CK23" s="208" t="s">
        <v>110</v>
      </c>
      <c r="CL23" s="208">
        <f t="shared" ref="CL23:CL28" si="48">IF(ISERROR(CJ23),0,CJ23)</f>
        <v>0</v>
      </c>
      <c r="CM23" s="208"/>
      <c r="CN23" s="209"/>
      <c r="CO23" s="208"/>
      <c r="CP23" s="208"/>
      <c r="CQ23" s="210"/>
      <c r="CY23" s="298"/>
      <c r="CZ23" s="299"/>
      <c r="DA23" s="299"/>
      <c r="DB23" s="299"/>
      <c r="DC23" s="299"/>
      <c r="DD23" s="299"/>
      <c r="DE23" s="299"/>
      <c r="DF23" s="299"/>
      <c r="DG23" s="299"/>
      <c r="DH23" s="299"/>
      <c r="DI23" s="299"/>
      <c r="DJ23" s="299"/>
      <c r="DK23" s="299"/>
      <c r="DL23" s="299"/>
      <c r="DM23" s="299"/>
      <c r="DN23" s="300"/>
      <c r="DP23" s="298"/>
      <c r="DQ23" s="299"/>
      <c r="DR23" s="299"/>
      <c r="DS23" s="299"/>
      <c r="DT23" s="299"/>
      <c r="DU23" s="299"/>
      <c r="DV23" s="299"/>
      <c r="DW23" s="299"/>
      <c r="DX23" s="299"/>
      <c r="DY23" s="299"/>
      <c r="DZ23" s="299"/>
      <c r="EA23" s="299"/>
      <c r="EB23" s="299"/>
      <c r="EC23" s="299"/>
      <c r="ED23" s="299"/>
      <c r="EE23" s="300"/>
      <c r="EM23" s="199">
        <v>22</v>
      </c>
      <c r="EO23" s="199"/>
      <c r="EP23" s="199"/>
      <c r="EQ23" s="199"/>
      <c r="ER23" s="199"/>
      <c r="ES23" s="199"/>
      <c r="ET23" s="199"/>
      <c r="EU23" s="199"/>
      <c r="EV23" s="199"/>
      <c r="EW23" s="199"/>
      <c r="EX23" s="199"/>
      <c r="EY23" s="199"/>
      <c r="EZ23" s="199"/>
      <c r="FA23" s="199"/>
      <c r="FB23" s="199"/>
      <c r="FC23" s="199"/>
      <c r="FD23" s="199"/>
      <c r="FE23" s="199"/>
      <c r="FF23" s="199"/>
      <c r="FG23" s="199"/>
      <c r="FH23" s="199"/>
      <c r="FI23" s="199"/>
      <c r="FJ23" s="199"/>
      <c r="FK23" s="199"/>
      <c r="FL23" s="199"/>
      <c r="FM23" s="199"/>
      <c r="FN23" s="199"/>
      <c r="FO23" s="199"/>
      <c r="FP23" s="199"/>
      <c r="FQ23" s="199"/>
      <c r="FR23" s="280"/>
      <c r="FS23" s="280"/>
      <c r="FT23" s="212"/>
      <c r="FU23" s="280"/>
      <c r="FV23" s="280"/>
      <c r="FW23" s="280"/>
      <c r="FX23" s="280"/>
    </row>
    <row r="24" spans="1:180" ht="21" customHeight="1" x14ac:dyDescent="0.3">
      <c r="A24" s="293">
        <f>HLOOKUP($A$3,Scenario1,16,FALSE)</f>
        <v>4</v>
      </c>
      <c r="B24" s="338"/>
      <c r="C24" s="214" t="str">
        <f>VLOOKUP($A24,joueurs,2,FALSE)</f>
        <v>BLANCHARD THIERRY</v>
      </c>
      <c r="D24" s="340"/>
      <c r="E24" s="215">
        <v>34</v>
      </c>
      <c r="F24" s="223">
        <f>IF(F23="","",F23)</f>
        <v>14</v>
      </c>
      <c r="G24" s="216">
        <v>9</v>
      </c>
      <c r="H24" s="217">
        <f>IF(E24="","",E24/F24)</f>
        <v>2.4285714285714284</v>
      </c>
      <c r="I24" s="224">
        <f>I23</f>
        <v>0</v>
      </c>
      <c r="J24" s="219">
        <f>IF(ISBLANK(E24),"",E24/F24+(G24/100))</f>
        <v>2.5185714285714282</v>
      </c>
      <c r="K24" s="220">
        <f>IF(E24="","",IF(E24&gt;E23,2,IF(E24=E23,1,0)))</f>
        <v>0</v>
      </c>
      <c r="L24" s="293"/>
      <c r="M24" s="293" t="str">
        <f>HLOOKUP($A$3,scenario2,19,FALSE)</f>
        <v>@</v>
      </c>
      <c r="N24" s="293"/>
      <c r="O24" s="214" t="str">
        <f>VLOOKUP($M24,joueurs,2,FALSE)</f>
        <v xml:space="preserve"> </v>
      </c>
      <c r="P24" s="340"/>
      <c r="Q24" s="215"/>
      <c r="R24" s="223" t="str">
        <f>IF(R23="","",R23)</f>
        <v/>
      </c>
      <c r="S24" s="216"/>
      <c r="T24" s="221" t="str">
        <f>IF(Q24="","",Q24/R24)</f>
        <v/>
      </c>
      <c r="U24" s="224">
        <f>U23</f>
        <v>0</v>
      </c>
      <c r="V24" s="219" t="str">
        <f>IF(ISBLANK(Q24),"",Q24/R24)</f>
        <v/>
      </c>
      <c r="W24" s="238"/>
      <c r="X24" s="220" t="str">
        <f>IF(Q24="","",IF(Q24&gt;Q23,2,IF(Q24=Q23,1,0)))</f>
        <v/>
      </c>
      <c r="Y24" s="220"/>
      <c r="Z24" s="222"/>
      <c r="AA24" s="199" t="s">
        <v>111</v>
      </c>
      <c r="AB24" s="207">
        <f>VLOOKUP(AC$2,poule2,9,FALSE)</f>
        <v>0</v>
      </c>
      <c r="AC24" s="208" t="s">
        <v>111</v>
      </c>
      <c r="AD24" s="208">
        <f t="shared" si="33"/>
        <v>0</v>
      </c>
      <c r="AE24" s="208"/>
      <c r="AF24" s="207">
        <f>VLOOKUP(AG$2,poule2,9,FALSE)</f>
        <v>0</v>
      </c>
      <c r="AG24" s="208" t="s">
        <v>111</v>
      </c>
      <c r="AH24" s="208">
        <f t="shared" si="34"/>
        <v>0</v>
      </c>
      <c r="AI24" s="208"/>
      <c r="AJ24" s="207">
        <f>VLOOKUP(AK$2,poule2,9,FALSE)</f>
        <v>2</v>
      </c>
      <c r="AK24" s="208" t="s">
        <v>111</v>
      </c>
      <c r="AL24" s="208">
        <f t="shared" si="35"/>
        <v>2</v>
      </c>
      <c r="AM24" s="208"/>
      <c r="AN24" s="207" t="e">
        <f>VLOOKUP(AO$2,poule2,9,FALSE)</f>
        <v>#N/A</v>
      </c>
      <c r="AO24" s="208" t="s">
        <v>111</v>
      </c>
      <c r="AP24" s="208">
        <f t="shared" si="36"/>
        <v>0</v>
      </c>
      <c r="AQ24" s="208"/>
      <c r="AR24" s="207">
        <f>VLOOKUP(AS$2,poule2,9,FALSE)</f>
        <v>2</v>
      </c>
      <c r="AS24" s="208" t="s">
        <v>111</v>
      </c>
      <c r="AT24" s="208">
        <f t="shared" si="37"/>
        <v>2</v>
      </c>
      <c r="AU24" s="208"/>
      <c r="AV24" s="207" t="e">
        <f>VLOOKUP(AW$2,poule2,9,FALSE)</f>
        <v>#N/A</v>
      </c>
      <c r="AW24" s="208" t="s">
        <v>111</v>
      </c>
      <c r="AX24" s="208">
        <f t="shared" si="38"/>
        <v>0</v>
      </c>
      <c r="AY24" s="208"/>
      <c r="AZ24" s="209" t="e">
        <f>VLOOKUP(BA$2,poule2,9,FALSE)</f>
        <v>#N/A</v>
      </c>
      <c r="BA24" s="208" t="s">
        <v>111</v>
      </c>
      <c r="BB24" s="208">
        <f t="shared" si="39"/>
        <v>0</v>
      </c>
      <c r="BC24" s="208"/>
      <c r="BD24" s="209" t="e">
        <f>VLOOKUP(BE$2,poule2,9,FALSE)</f>
        <v>#N/A</v>
      </c>
      <c r="BE24" s="208" t="s">
        <v>111</v>
      </c>
      <c r="BF24" s="208">
        <f t="shared" si="40"/>
        <v>0</v>
      </c>
      <c r="BG24" s="208"/>
      <c r="BH24" s="209" t="e">
        <f>VLOOKUP(BI$2,poule2,9,FALSE)</f>
        <v>#N/A</v>
      </c>
      <c r="BI24" s="208" t="s">
        <v>111</v>
      </c>
      <c r="BJ24" s="208">
        <f t="shared" si="41"/>
        <v>0</v>
      </c>
      <c r="BK24" s="208"/>
      <c r="BL24" s="209" t="e">
        <f>VLOOKUP(BM$2,poule2,9,FALSE)</f>
        <v>#N/A</v>
      </c>
      <c r="BM24" s="208" t="s">
        <v>111</v>
      </c>
      <c r="BN24" s="208">
        <f t="shared" si="42"/>
        <v>0</v>
      </c>
      <c r="BO24" s="208"/>
      <c r="BP24" s="209" t="e">
        <f>VLOOKUP(BQ$2,poule2,9,FALSE)</f>
        <v>#N/A</v>
      </c>
      <c r="BQ24" s="208" t="s">
        <v>111</v>
      </c>
      <c r="BR24" s="208">
        <f t="shared" si="43"/>
        <v>0</v>
      </c>
      <c r="BS24" s="208"/>
      <c r="BT24" s="209" t="e">
        <f>VLOOKUP(BU$2,poule2,9,FALSE)</f>
        <v>#N/A</v>
      </c>
      <c r="BU24" s="208" t="s">
        <v>111</v>
      </c>
      <c r="BV24" s="208">
        <f t="shared" si="44"/>
        <v>0</v>
      </c>
      <c r="BW24" s="208"/>
      <c r="BX24" s="209" t="e">
        <f>VLOOKUP(BY$2,poule2,9,FALSE)</f>
        <v>#N/A</v>
      </c>
      <c r="BY24" s="208" t="s">
        <v>111</v>
      </c>
      <c r="BZ24" s="208">
        <f t="shared" si="45"/>
        <v>0</v>
      </c>
      <c r="CA24" s="208"/>
      <c r="CB24" s="209" t="e">
        <f>VLOOKUP(CC$2,poule2,9,FALSE)</f>
        <v>#N/A</v>
      </c>
      <c r="CC24" s="208" t="s">
        <v>111</v>
      </c>
      <c r="CD24" s="208">
        <f t="shared" si="46"/>
        <v>0</v>
      </c>
      <c r="CE24" s="208"/>
      <c r="CF24" s="209" t="e">
        <f>VLOOKUP(CG$2,poule2,9,FALSE)</f>
        <v>#N/A</v>
      </c>
      <c r="CG24" s="208" t="s">
        <v>111</v>
      </c>
      <c r="CH24" s="208">
        <f t="shared" si="47"/>
        <v>0</v>
      </c>
      <c r="CI24" s="208"/>
      <c r="CJ24" s="209" t="e">
        <f>VLOOKUP(CK$2,poule2,9,FALSE)</f>
        <v>#N/A</v>
      </c>
      <c r="CK24" s="208" t="s">
        <v>111</v>
      </c>
      <c r="CL24" s="208">
        <f t="shared" si="48"/>
        <v>0</v>
      </c>
      <c r="CM24" s="208"/>
      <c r="CN24" s="209"/>
      <c r="CO24" s="208"/>
      <c r="CP24" s="208"/>
      <c r="CQ24" s="210"/>
      <c r="CY24" s="289" t="s">
        <v>26</v>
      </c>
      <c r="CZ24" s="291" t="s">
        <v>26</v>
      </c>
      <c r="DA24" s="291" t="s">
        <v>26</v>
      </c>
      <c r="DB24" s="291" t="s">
        <v>26</v>
      </c>
      <c r="DC24" s="291" t="s">
        <v>26</v>
      </c>
      <c r="DD24" s="291"/>
      <c r="DE24" s="291" t="s">
        <v>26</v>
      </c>
      <c r="DF24" s="291" t="s">
        <v>26</v>
      </c>
      <c r="DG24" s="291" t="s">
        <v>26</v>
      </c>
      <c r="DH24" s="291">
        <v>6</v>
      </c>
      <c r="DI24" s="291" t="s">
        <v>26</v>
      </c>
      <c r="DJ24" s="291" t="s">
        <v>26</v>
      </c>
      <c r="DK24" s="291" t="s">
        <v>26</v>
      </c>
      <c r="DL24" s="291">
        <v>2</v>
      </c>
      <c r="DM24" s="291" t="s">
        <v>26</v>
      </c>
      <c r="DN24" s="292" t="s">
        <v>26</v>
      </c>
      <c r="DO24" s="199"/>
      <c r="DP24" s="289" t="s">
        <v>26</v>
      </c>
      <c r="DQ24" s="291" t="s">
        <v>26</v>
      </c>
      <c r="DR24" s="291" t="s">
        <v>26</v>
      </c>
      <c r="DS24" s="291" t="s">
        <v>26</v>
      </c>
      <c r="DT24" s="291" t="s">
        <v>26</v>
      </c>
      <c r="DU24" s="291"/>
      <c r="DV24" s="291" t="s">
        <v>26</v>
      </c>
      <c r="DW24" s="291" t="s">
        <v>26</v>
      </c>
      <c r="DX24" s="291" t="s">
        <v>26</v>
      </c>
      <c r="DY24" s="291" t="s">
        <v>26</v>
      </c>
      <c r="DZ24" s="291" t="s">
        <v>26</v>
      </c>
      <c r="EA24" s="291" t="s">
        <v>26</v>
      </c>
      <c r="EB24" s="291" t="s">
        <v>26</v>
      </c>
      <c r="EC24" s="291" t="s">
        <v>26</v>
      </c>
      <c r="ED24" s="291" t="s">
        <v>26</v>
      </c>
      <c r="EE24" s="292"/>
      <c r="EF24" s="199"/>
      <c r="EG24" s="199"/>
      <c r="EH24" s="199"/>
      <c r="EI24" s="199"/>
      <c r="EJ24" s="199"/>
      <c r="EK24" s="199"/>
      <c r="EM24" s="199">
        <v>23</v>
      </c>
      <c r="EZ24" s="199"/>
      <c r="FA24" s="199"/>
      <c r="FB24" s="199"/>
      <c r="FC24" s="199"/>
      <c r="FD24" s="199"/>
      <c r="FE24" s="199"/>
      <c r="FF24" s="199"/>
      <c r="FG24" s="199"/>
      <c r="FH24" s="199"/>
      <c r="FI24" s="199"/>
      <c r="FJ24" s="199"/>
      <c r="FK24" s="199"/>
      <c r="FL24" s="199"/>
      <c r="FM24" s="199"/>
      <c r="FN24" s="199"/>
      <c r="FO24" s="199"/>
      <c r="FP24" s="199"/>
      <c r="FQ24" s="199"/>
      <c r="FR24" s="280"/>
      <c r="FS24" s="280"/>
      <c r="FT24" s="212"/>
      <c r="FU24" s="280"/>
      <c r="FV24" s="280"/>
      <c r="FW24" s="280"/>
      <c r="FX24" s="280"/>
    </row>
    <row r="25" spans="1:180" ht="21" customHeight="1" thickBot="1" x14ac:dyDescent="0.35">
      <c r="A25" s="293"/>
      <c r="B25" s="293"/>
      <c r="C25" s="199"/>
      <c r="D25" s="302"/>
      <c r="E25" s="302"/>
      <c r="F25" s="302"/>
      <c r="G25" s="303"/>
      <c r="H25" s="293"/>
      <c r="I25" s="304"/>
      <c r="J25" s="293"/>
      <c r="K25" s="293"/>
      <c r="L25" s="293"/>
      <c r="U25" s="283"/>
      <c r="AA25" s="199" t="s">
        <v>112</v>
      </c>
      <c r="AB25" s="207">
        <f>VLOOKUP(AC$2,poule3,9,FALSE)</f>
        <v>2</v>
      </c>
      <c r="AC25" s="208" t="s">
        <v>112</v>
      </c>
      <c r="AD25" s="208">
        <f t="shared" si="33"/>
        <v>2</v>
      </c>
      <c r="AE25" s="208"/>
      <c r="AF25" s="207" t="e">
        <f>VLOOKUP(AG$2,poule3,9,FALSE)</f>
        <v>#N/A</v>
      </c>
      <c r="AG25" s="208" t="s">
        <v>112</v>
      </c>
      <c r="AH25" s="208">
        <f t="shared" si="34"/>
        <v>0</v>
      </c>
      <c r="AI25" s="208"/>
      <c r="AJ25" s="207">
        <f>VLOOKUP(AK$2,poule3,9,FALSE)</f>
        <v>1</v>
      </c>
      <c r="AK25" s="208" t="s">
        <v>112</v>
      </c>
      <c r="AL25" s="208">
        <f t="shared" si="35"/>
        <v>1</v>
      </c>
      <c r="AM25" s="208"/>
      <c r="AN25" s="207">
        <f>VLOOKUP(AO$2,poule3,9,FALSE)</f>
        <v>0</v>
      </c>
      <c r="AO25" s="208" t="s">
        <v>112</v>
      </c>
      <c r="AP25" s="208">
        <f t="shared" si="36"/>
        <v>0</v>
      </c>
      <c r="AQ25" s="208"/>
      <c r="AR25" s="207">
        <f>VLOOKUP(AS$2,poule3,9,FALSE)</f>
        <v>1</v>
      </c>
      <c r="AS25" s="208" t="s">
        <v>112</v>
      </c>
      <c r="AT25" s="208">
        <f t="shared" si="37"/>
        <v>1</v>
      </c>
      <c r="AU25" s="208"/>
      <c r="AV25" s="207" t="e">
        <f>VLOOKUP(AW$2,poule3,9,FALSE)</f>
        <v>#N/A</v>
      </c>
      <c r="AW25" s="208" t="s">
        <v>112</v>
      </c>
      <c r="AX25" s="208">
        <f t="shared" si="38"/>
        <v>0</v>
      </c>
      <c r="AY25" s="208"/>
      <c r="AZ25" s="213" t="e">
        <f>VLOOKUP(BA$2,poule3,9,FALSE)</f>
        <v>#N/A</v>
      </c>
      <c r="BA25" s="208" t="s">
        <v>112</v>
      </c>
      <c r="BB25" s="208">
        <f t="shared" si="39"/>
        <v>0</v>
      </c>
      <c r="BC25" s="208"/>
      <c r="BD25" s="213" t="e">
        <f>VLOOKUP(BE$2,poule3,9,FALSE)</f>
        <v>#N/A</v>
      </c>
      <c r="BE25" s="208" t="s">
        <v>112</v>
      </c>
      <c r="BF25" s="208">
        <f t="shared" si="40"/>
        <v>0</v>
      </c>
      <c r="BG25" s="208"/>
      <c r="BH25" s="213" t="e">
        <f>VLOOKUP(BI$2,poule3,9,FALSE)</f>
        <v>#N/A</v>
      </c>
      <c r="BI25" s="208" t="s">
        <v>112</v>
      </c>
      <c r="BJ25" s="208">
        <f t="shared" si="41"/>
        <v>0</v>
      </c>
      <c r="BK25" s="208"/>
      <c r="BL25" s="213" t="e">
        <f>VLOOKUP(BM$2,poule3,9,FALSE)</f>
        <v>#N/A</v>
      </c>
      <c r="BM25" s="208" t="s">
        <v>112</v>
      </c>
      <c r="BN25" s="208">
        <f t="shared" si="42"/>
        <v>0</v>
      </c>
      <c r="BO25" s="208"/>
      <c r="BP25" s="213" t="e">
        <f>VLOOKUP(BQ$2,poule3,9,FALSE)</f>
        <v>#N/A</v>
      </c>
      <c r="BQ25" s="208" t="s">
        <v>112</v>
      </c>
      <c r="BR25" s="208">
        <f t="shared" si="43"/>
        <v>0</v>
      </c>
      <c r="BS25" s="208"/>
      <c r="BT25" s="213" t="e">
        <f>VLOOKUP(BU$2,poule3,9,FALSE)</f>
        <v>#N/A</v>
      </c>
      <c r="BU25" s="208" t="s">
        <v>112</v>
      </c>
      <c r="BV25" s="208">
        <f t="shared" si="44"/>
        <v>0</v>
      </c>
      <c r="BW25" s="208"/>
      <c r="BX25" s="213" t="e">
        <f>VLOOKUP(BY$2,poule3,9,FALSE)</f>
        <v>#N/A</v>
      </c>
      <c r="BY25" s="208" t="s">
        <v>112</v>
      </c>
      <c r="BZ25" s="208">
        <f t="shared" si="45"/>
        <v>0</v>
      </c>
      <c r="CA25" s="208"/>
      <c r="CB25" s="213" t="e">
        <f>VLOOKUP(CC$2,poule3,9,FALSE)</f>
        <v>#N/A</v>
      </c>
      <c r="CC25" s="208" t="s">
        <v>112</v>
      </c>
      <c r="CD25" s="208">
        <f t="shared" si="46"/>
        <v>0</v>
      </c>
      <c r="CE25" s="208"/>
      <c r="CF25" s="213" t="e">
        <f>VLOOKUP(CG$2,poule3,9,FALSE)</f>
        <v>#N/A</v>
      </c>
      <c r="CG25" s="208" t="s">
        <v>112</v>
      </c>
      <c r="CH25" s="208">
        <f t="shared" si="47"/>
        <v>0</v>
      </c>
      <c r="CI25" s="208"/>
      <c r="CJ25" s="213" t="e">
        <f>VLOOKUP(CK$2,poule3,9,FALSE)</f>
        <v>#N/A</v>
      </c>
      <c r="CK25" s="208" t="s">
        <v>112</v>
      </c>
      <c r="CL25" s="208">
        <f t="shared" si="48"/>
        <v>0</v>
      </c>
      <c r="CM25" s="208"/>
      <c r="CN25" s="209"/>
      <c r="CO25" s="208"/>
      <c r="CP25" s="208"/>
      <c r="CQ25" s="210"/>
      <c r="CX25" s="240"/>
      <c r="CY25" s="294" t="s">
        <v>26</v>
      </c>
      <c r="CZ25" s="296" t="s">
        <v>26</v>
      </c>
      <c r="DA25" s="296" t="s">
        <v>26</v>
      </c>
      <c r="DB25" s="296" t="s">
        <v>26</v>
      </c>
      <c r="DC25" s="296" t="s">
        <v>26</v>
      </c>
      <c r="DD25" s="296"/>
      <c r="DE25" s="296" t="s">
        <v>26</v>
      </c>
      <c r="DF25" s="296" t="s">
        <v>26</v>
      </c>
      <c r="DG25" s="296" t="s">
        <v>26</v>
      </c>
      <c r="DH25" s="296">
        <v>7</v>
      </c>
      <c r="DI25" s="296" t="s">
        <v>26</v>
      </c>
      <c r="DJ25" s="296" t="s">
        <v>26</v>
      </c>
      <c r="DK25" s="296" t="s">
        <v>26</v>
      </c>
      <c r="DL25" s="296">
        <v>4</v>
      </c>
      <c r="DM25" s="296" t="s">
        <v>26</v>
      </c>
      <c r="DN25" s="297" t="s">
        <v>26</v>
      </c>
      <c r="DO25" s="199"/>
      <c r="DP25" s="294" t="s">
        <v>26</v>
      </c>
      <c r="DQ25" s="296" t="s">
        <v>26</v>
      </c>
      <c r="DR25" s="296" t="s">
        <v>26</v>
      </c>
      <c r="DS25" s="296" t="s">
        <v>26</v>
      </c>
      <c r="DT25" s="296" t="s">
        <v>26</v>
      </c>
      <c r="DU25" s="296"/>
      <c r="DV25" s="296" t="s">
        <v>26</v>
      </c>
      <c r="DW25" s="296" t="s">
        <v>26</v>
      </c>
      <c r="DX25" s="296" t="s">
        <v>26</v>
      </c>
      <c r="DY25" s="296" t="s">
        <v>26</v>
      </c>
      <c r="DZ25" s="296" t="s">
        <v>26</v>
      </c>
      <c r="EA25" s="296" t="s">
        <v>26</v>
      </c>
      <c r="EB25" s="296" t="s">
        <v>26</v>
      </c>
      <c r="EC25" s="296" t="s">
        <v>26</v>
      </c>
      <c r="ED25" s="296" t="s">
        <v>26</v>
      </c>
      <c r="EE25" s="297"/>
      <c r="EF25" s="199"/>
      <c r="EG25" s="199"/>
      <c r="EH25" s="199"/>
      <c r="EI25" s="199"/>
      <c r="EJ25" s="199"/>
      <c r="EK25" s="199"/>
      <c r="EM25" s="199">
        <v>24</v>
      </c>
      <c r="EO25" s="280" t="s">
        <v>113</v>
      </c>
      <c r="FL25" s="199"/>
      <c r="FM25" s="199"/>
      <c r="FN25" s="199"/>
      <c r="FO25" s="199"/>
      <c r="FP25" s="199"/>
      <c r="FQ25" s="280"/>
      <c r="FR25" s="280"/>
      <c r="FS25" s="212"/>
      <c r="FT25" s="280"/>
      <c r="FU25" s="280"/>
      <c r="FV25" s="280"/>
      <c r="FW25" s="280"/>
      <c r="FX25" s="280"/>
    </row>
    <row r="26" spans="1:180" ht="21" customHeight="1" x14ac:dyDescent="0.3">
      <c r="A26" s="293">
        <f>HLOOKUP($A$3,Scenario1,18,FALSE)</f>
        <v>3</v>
      </c>
      <c r="B26" s="338" t="str">
        <f>IF(Tirage!$H$3="Finale 5 Joueurs","Billard 2","")</f>
        <v>Billard 2</v>
      </c>
      <c r="C26" s="214" t="str">
        <f>VLOOKUP($A26,joueurs,2,FALSE)</f>
        <v>CREDOT GERALD</v>
      </c>
      <c r="D26" s="339">
        <f>IF(Tirage!$G$17="","",HLOOKUP($A$3,TourDeJeu,33,FALSE))</f>
        <v>80</v>
      </c>
      <c r="E26" s="215">
        <v>80</v>
      </c>
      <c r="F26" s="215">
        <v>20</v>
      </c>
      <c r="G26" s="216">
        <v>16</v>
      </c>
      <c r="H26" s="217">
        <f>IF(F26="","",E26/F26)</f>
        <v>4</v>
      </c>
      <c r="I26" s="218"/>
      <c r="J26" s="219">
        <f>IF(ISBLANK(E26),"",E26/F26+(G26/100))</f>
        <v>4.16</v>
      </c>
      <c r="K26" s="220">
        <f>IF(E26="","",IF(E26&gt;E27,2,IF(E26=E27,1,0)))</f>
        <v>1</v>
      </c>
      <c r="L26" s="293"/>
      <c r="M26" s="351" t="str">
        <f>HLOOKUP($A$3,TourDeJeu2,31,FALSE)</f>
        <v>_</v>
      </c>
      <c r="N26" s="352"/>
      <c r="O26" s="352"/>
      <c r="P26" s="352"/>
      <c r="Q26" s="352"/>
      <c r="R26" s="352"/>
      <c r="S26" s="352"/>
      <c r="T26" s="352"/>
      <c r="U26" s="352"/>
      <c r="V26" s="352"/>
      <c r="W26" s="352"/>
      <c r="X26" s="352"/>
      <c r="Y26" s="353"/>
      <c r="AA26" s="199" t="s">
        <v>114</v>
      </c>
      <c r="AB26" s="207">
        <f>VLOOKUP(AC$2,poule4,9,FALSE)</f>
        <v>0</v>
      </c>
      <c r="AC26" s="208" t="s">
        <v>114</v>
      </c>
      <c r="AD26" s="208">
        <f t="shared" si="33"/>
        <v>0</v>
      </c>
      <c r="AE26" s="208"/>
      <c r="AF26" s="207">
        <f>VLOOKUP(AG$2,poule4,9,FALSE)</f>
        <v>2</v>
      </c>
      <c r="AG26" s="208" t="s">
        <v>114</v>
      </c>
      <c r="AH26" s="208">
        <f t="shared" si="34"/>
        <v>2</v>
      </c>
      <c r="AI26" s="208"/>
      <c r="AJ26" s="207">
        <f>VLOOKUP(AK$2,poule4,9,FALSE)</f>
        <v>2</v>
      </c>
      <c r="AK26" s="208" t="s">
        <v>114</v>
      </c>
      <c r="AL26" s="208">
        <f t="shared" si="35"/>
        <v>2</v>
      </c>
      <c r="AM26" s="208"/>
      <c r="AN26" s="207">
        <f>VLOOKUP(AO$2,poule4,9,FALSE)</f>
        <v>0</v>
      </c>
      <c r="AO26" s="208" t="s">
        <v>114</v>
      </c>
      <c r="AP26" s="208">
        <f t="shared" si="36"/>
        <v>0</v>
      </c>
      <c r="AQ26" s="208"/>
      <c r="AR26" s="207" t="e">
        <f>VLOOKUP(AS$2,poule4,9,FALSE)</f>
        <v>#N/A</v>
      </c>
      <c r="AS26" s="208" t="s">
        <v>114</v>
      </c>
      <c r="AT26" s="208">
        <f t="shared" si="37"/>
        <v>0</v>
      </c>
      <c r="AU26" s="208"/>
      <c r="AV26" s="207" t="e">
        <f>VLOOKUP(AW$2,poule4,9,FALSE)</f>
        <v>#N/A</v>
      </c>
      <c r="AW26" s="208" t="s">
        <v>114</v>
      </c>
      <c r="AX26" s="208">
        <f t="shared" si="38"/>
        <v>0</v>
      </c>
      <c r="AY26" s="208"/>
      <c r="AZ26" s="209" t="e">
        <f>VLOOKUP(BA$2,poule4,9,FALSE)</f>
        <v>#N/A</v>
      </c>
      <c r="BA26" s="208" t="s">
        <v>114</v>
      </c>
      <c r="BB26" s="208">
        <f t="shared" si="39"/>
        <v>0</v>
      </c>
      <c r="BC26" s="208"/>
      <c r="BD26" s="209" t="e">
        <f>VLOOKUP(BE$2,poule4,9,FALSE)</f>
        <v>#N/A</v>
      </c>
      <c r="BE26" s="208" t="s">
        <v>114</v>
      </c>
      <c r="BF26" s="208">
        <f t="shared" si="40"/>
        <v>0</v>
      </c>
      <c r="BG26" s="208"/>
      <c r="BH26" s="209" t="e">
        <f>VLOOKUP(BI$2,poule4,9,FALSE)</f>
        <v>#N/A</v>
      </c>
      <c r="BI26" s="208" t="s">
        <v>114</v>
      </c>
      <c r="BJ26" s="208">
        <f t="shared" si="41"/>
        <v>0</v>
      </c>
      <c r="BK26" s="208"/>
      <c r="BL26" s="209" t="e">
        <f>VLOOKUP(BM$2,poule4,9,FALSE)</f>
        <v>#N/A</v>
      </c>
      <c r="BM26" s="208" t="s">
        <v>114</v>
      </c>
      <c r="BN26" s="208">
        <f t="shared" si="42"/>
        <v>0</v>
      </c>
      <c r="BO26" s="208"/>
      <c r="BP26" s="209" t="e">
        <f>VLOOKUP(BQ$2,poule4,9,FALSE)</f>
        <v>#N/A</v>
      </c>
      <c r="BQ26" s="208" t="s">
        <v>114</v>
      </c>
      <c r="BR26" s="208">
        <f t="shared" si="43"/>
        <v>0</v>
      </c>
      <c r="BS26" s="208"/>
      <c r="BT26" s="209" t="e">
        <f>VLOOKUP(BU$2,poule4,9,FALSE)</f>
        <v>#N/A</v>
      </c>
      <c r="BU26" s="208" t="s">
        <v>114</v>
      </c>
      <c r="BV26" s="208">
        <f t="shared" si="44"/>
        <v>0</v>
      </c>
      <c r="BW26" s="208"/>
      <c r="BX26" s="209" t="e">
        <f>VLOOKUP(BY$2,poule4,9,FALSE)</f>
        <v>#N/A</v>
      </c>
      <c r="BY26" s="208" t="s">
        <v>114</v>
      </c>
      <c r="BZ26" s="208">
        <f t="shared" si="45"/>
        <v>0</v>
      </c>
      <c r="CA26" s="208"/>
      <c r="CB26" s="209" t="e">
        <f>VLOOKUP(CC$2,poule4,9,FALSE)</f>
        <v>#N/A</v>
      </c>
      <c r="CC26" s="208" t="s">
        <v>114</v>
      </c>
      <c r="CD26" s="208">
        <f t="shared" si="46"/>
        <v>0</v>
      </c>
      <c r="CE26" s="208"/>
      <c r="CF26" s="209" t="e">
        <f>VLOOKUP(CG$2,poule4,9,FALSE)</f>
        <v>#N/A</v>
      </c>
      <c r="CG26" s="208" t="s">
        <v>114</v>
      </c>
      <c r="CH26" s="208">
        <f t="shared" si="47"/>
        <v>0</v>
      </c>
      <c r="CI26" s="208"/>
      <c r="CJ26" s="209" t="e">
        <f>VLOOKUP(CK$2,poule4,9,FALSE)</f>
        <v>#N/A</v>
      </c>
      <c r="CK26" s="208" t="s">
        <v>114</v>
      </c>
      <c r="CL26" s="208">
        <f t="shared" si="48"/>
        <v>0</v>
      </c>
      <c r="CM26" s="208"/>
      <c r="CN26" s="209"/>
      <c r="CO26" s="208"/>
      <c r="CP26" s="208"/>
      <c r="CQ26" s="210"/>
      <c r="EM26" s="199">
        <v>25</v>
      </c>
      <c r="ER26" s="279" t="str">
        <f>AA100</f>
        <v>pts fin</v>
      </c>
      <c r="ES26" s="279" t="str">
        <f>AA101</f>
        <v>reprises fin</v>
      </c>
      <c r="ET26" s="279" t="str">
        <f>AA102</f>
        <v>Pts match</v>
      </c>
      <c r="EU26" s="279" t="str">
        <f>AA103</f>
        <v>série fin</v>
      </c>
      <c r="EV26" s="279" t="str">
        <f>AA104</f>
        <v>Part</v>
      </c>
      <c r="EW26" s="279"/>
      <c r="EX26" s="279"/>
      <c r="FL26" s="199"/>
      <c r="FM26" s="199"/>
      <c r="FN26" s="199"/>
      <c r="FO26" s="199"/>
      <c r="FP26" s="199"/>
      <c r="FQ26" s="280"/>
      <c r="FR26" s="280"/>
      <c r="FS26" s="212"/>
      <c r="FT26" s="280"/>
      <c r="FU26" s="280"/>
      <c r="FV26" s="280"/>
      <c r="FW26" s="280"/>
      <c r="FX26" s="280"/>
    </row>
    <row r="27" spans="1:180" ht="21" customHeight="1" x14ac:dyDescent="0.3">
      <c r="A27" s="293">
        <f>HLOOKUP($A$3,Scenario1,19,FALSE)</f>
        <v>5</v>
      </c>
      <c r="B27" s="338"/>
      <c r="C27" s="214" t="str">
        <f>VLOOKUP($A27,joueurs,2,FALSE)</f>
        <v>LACHOQUE DANIEL</v>
      </c>
      <c r="D27" s="340"/>
      <c r="E27" s="215">
        <v>80</v>
      </c>
      <c r="F27" s="223">
        <f>IF(F26="","",F26)</f>
        <v>20</v>
      </c>
      <c r="G27" s="216">
        <v>19</v>
      </c>
      <c r="H27" s="217">
        <f>IF(E27="","",E27/F27)</f>
        <v>4</v>
      </c>
      <c r="I27" s="224">
        <f>I26</f>
        <v>0</v>
      </c>
      <c r="J27" s="219">
        <f>IF(ISBLANK(E27),"",E27/F27+(G27/100))</f>
        <v>4.1900000000000004</v>
      </c>
      <c r="K27" s="220">
        <f>IF(E27="","",IF(E27&gt;E26,2,IF(E27=E26,1,0)))</f>
        <v>1</v>
      </c>
      <c r="L27" s="293"/>
      <c r="Y27" s="276" t="s">
        <v>109</v>
      </c>
      <c r="AA27" s="199" t="s">
        <v>115</v>
      </c>
      <c r="AB27" s="207">
        <f>VLOOKUP(AC$2,poule5,9,FALSE)</f>
        <v>0</v>
      </c>
      <c r="AC27" s="208" t="s">
        <v>115</v>
      </c>
      <c r="AD27" s="208">
        <f t="shared" si="33"/>
        <v>0</v>
      </c>
      <c r="AE27" s="208"/>
      <c r="AF27" s="207">
        <f>VLOOKUP(AG$2,poule5,9,FALSE)</f>
        <v>0</v>
      </c>
      <c r="AG27" s="208" t="s">
        <v>115</v>
      </c>
      <c r="AH27" s="208">
        <f t="shared" si="34"/>
        <v>0</v>
      </c>
      <c r="AI27" s="208"/>
      <c r="AJ27" s="207" t="e">
        <f>VLOOKUP(AK$2,poule5,9,FALSE)</f>
        <v>#N/A</v>
      </c>
      <c r="AK27" s="208" t="s">
        <v>115</v>
      </c>
      <c r="AL27" s="208">
        <f t="shared" si="35"/>
        <v>0</v>
      </c>
      <c r="AM27" s="208"/>
      <c r="AN27" s="207">
        <f>VLOOKUP(AO$2,poule5,9,FALSE)</f>
        <v>0</v>
      </c>
      <c r="AO27" s="208" t="s">
        <v>115</v>
      </c>
      <c r="AP27" s="208">
        <f t="shared" si="36"/>
        <v>0</v>
      </c>
      <c r="AQ27" s="208"/>
      <c r="AR27" s="207">
        <f>VLOOKUP(AS$2,poule5,9,FALSE)</f>
        <v>0</v>
      </c>
      <c r="AS27" s="208" t="s">
        <v>115</v>
      </c>
      <c r="AT27" s="208">
        <f t="shared" si="37"/>
        <v>0</v>
      </c>
      <c r="AU27" s="208"/>
      <c r="AV27" s="207" t="e">
        <f>VLOOKUP(AW$2,poule5,9,FALSE)</f>
        <v>#N/A</v>
      </c>
      <c r="AW27" s="208" t="s">
        <v>115</v>
      </c>
      <c r="AX27" s="208">
        <f t="shared" si="38"/>
        <v>0</v>
      </c>
      <c r="AY27" s="208"/>
      <c r="AZ27" s="209" t="e">
        <f>VLOOKUP(BA$2,poule5,9,FALSE)</f>
        <v>#N/A</v>
      </c>
      <c r="BA27" s="208" t="s">
        <v>115</v>
      </c>
      <c r="BB27" s="208">
        <f t="shared" si="39"/>
        <v>0</v>
      </c>
      <c r="BC27" s="208"/>
      <c r="BD27" s="209" t="e">
        <f>VLOOKUP(BE$2,poule5,9,FALSE)</f>
        <v>#N/A</v>
      </c>
      <c r="BE27" s="208" t="s">
        <v>115</v>
      </c>
      <c r="BF27" s="208">
        <f t="shared" si="40"/>
        <v>0</v>
      </c>
      <c r="BG27" s="208"/>
      <c r="BH27" s="209" t="e">
        <f>VLOOKUP(BI$2,poule5,9,FALSE)</f>
        <v>#N/A</v>
      </c>
      <c r="BI27" s="208" t="s">
        <v>115</v>
      </c>
      <c r="BJ27" s="208">
        <f t="shared" si="41"/>
        <v>0</v>
      </c>
      <c r="BK27" s="208"/>
      <c r="BL27" s="209" t="e">
        <f>VLOOKUP(BM$2,poule5,9,FALSE)</f>
        <v>#N/A</v>
      </c>
      <c r="BM27" s="208" t="s">
        <v>115</v>
      </c>
      <c r="BN27" s="208">
        <f t="shared" si="42"/>
        <v>0</v>
      </c>
      <c r="BO27" s="208"/>
      <c r="BP27" s="209" t="e">
        <f>VLOOKUP(BQ$2,poule5,9,FALSE)</f>
        <v>#N/A</v>
      </c>
      <c r="BQ27" s="208" t="s">
        <v>115</v>
      </c>
      <c r="BR27" s="208">
        <f t="shared" si="43"/>
        <v>0</v>
      </c>
      <c r="BS27" s="208"/>
      <c r="BT27" s="209" t="e">
        <f>VLOOKUP(BU$2,poule5,9,FALSE)</f>
        <v>#N/A</v>
      </c>
      <c r="BU27" s="208" t="s">
        <v>115</v>
      </c>
      <c r="BV27" s="208">
        <f t="shared" si="44"/>
        <v>0</v>
      </c>
      <c r="BW27" s="208"/>
      <c r="BX27" s="209" t="e">
        <f>VLOOKUP(BY$2,poule5,9,FALSE)</f>
        <v>#N/A</v>
      </c>
      <c r="BY27" s="208" t="s">
        <v>115</v>
      </c>
      <c r="BZ27" s="208">
        <f t="shared" si="45"/>
        <v>0</v>
      </c>
      <c r="CA27" s="208"/>
      <c r="CB27" s="209" t="e">
        <f>VLOOKUP(CC$2,poule5,9,FALSE)</f>
        <v>#N/A</v>
      </c>
      <c r="CC27" s="208" t="s">
        <v>115</v>
      </c>
      <c r="CD27" s="208">
        <f t="shared" si="46"/>
        <v>0</v>
      </c>
      <c r="CE27" s="208"/>
      <c r="CF27" s="209" t="e">
        <f>VLOOKUP(CG$2,poule5,9,FALSE)</f>
        <v>#N/A</v>
      </c>
      <c r="CG27" s="208" t="s">
        <v>115</v>
      </c>
      <c r="CH27" s="208">
        <f t="shared" si="47"/>
        <v>0</v>
      </c>
      <c r="CI27" s="208"/>
      <c r="CJ27" s="209" t="e">
        <f>VLOOKUP(CK$2,poule5,9,FALSE)</f>
        <v>#N/A</v>
      </c>
      <c r="CK27" s="208" t="s">
        <v>115</v>
      </c>
      <c r="CL27" s="208">
        <f t="shared" si="48"/>
        <v>0</v>
      </c>
      <c r="CM27" s="208"/>
      <c r="CN27" s="209"/>
      <c r="CO27" s="208"/>
      <c r="CP27" s="208"/>
      <c r="CQ27" s="210"/>
      <c r="EM27" s="199">
        <v>26</v>
      </c>
      <c r="EO27" s="280">
        <f>RANK(FA27,$FA$27:$FB$34)</f>
        <v>4</v>
      </c>
      <c r="EQ27" s="280" t="str">
        <f>AC2</f>
        <v>HENWOOD PHILIPPE</v>
      </c>
      <c r="ER27" s="305">
        <f>AD100</f>
        <v>264</v>
      </c>
      <c r="ES27" s="212">
        <f>AD101</f>
        <v>53</v>
      </c>
      <c r="ET27" s="199">
        <f>AD102</f>
        <v>2</v>
      </c>
      <c r="EU27" s="199">
        <f>AD103</f>
        <v>27</v>
      </c>
      <c r="EV27" s="306">
        <f>AD104</f>
        <v>5.7142857142857144</v>
      </c>
      <c r="EW27" s="306">
        <f>AD105</f>
        <v>0</v>
      </c>
      <c r="EX27" s="306">
        <f>AD106</f>
        <v>0</v>
      </c>
      <c r="EY27" s="350">
        <f t="shared" ref="EY27:EY34" si="49">IF(ISERROR(FE27),0,FE27)</f>
        <v>4.9811320754716979</v>
      </c>
      <c r="EZ27" s="350"/>
      <c r="FA27" s="278">
        <f>ET27+EY27/10000</f>
        <v>2.0004981132075472</v>
      </c>
      <c r="FB27" s="278"/>
      <c r="FE27" s="347">
        <f t="shared" ref="FE27:FE34" si="50">ER27/ES27</f>
        <v>4.9811320754716979</v>
      </c>
      <c r="FF27" s="347"/>
      <c r="FG27" s="349">
        <f>ET27+(FE27/100000)+(EU27/1000000000)</f>
        <v>2.0000498383207548</v>
      </c>
      <c r="FH27" s="349"/>
      <c r="FL27" s="199"/>
      <c r="FM27" s="199"/>
      <c r="FN27" s="199"/>
      <c r="FO27" s="199"/>
      <c r="FP27" s="199"/>
      <c r="FQ27" s="280"/>
      <c r="FR27" s="280"/>
      <c r="FS27" s="212"/>
      <c r="FT27" s="280"/>
      <c r="FU27" s="280"/>
      <c r="FV27" s="280"/>
      <c r="FW27" s="280"/>
      <c r="FX27" s="280"/>
    </row>
    <row r="28" spans="1:180" ht="21" customHeight="1" x14ac:dyDescent="0.3">
      <c r="A28" s="293"/>
      <c r="B28" s="293"/>
      <c r="C28" s="227"/>
      <c r="D28" s="227"/>
      <c r="E28" s="228"/>
      <c r="F28" s="227"/>
      <c r="G28" s="229"/>
      <c r="H28" s="230"/>
      <c r="I28" s="231"/>
      <c r="J28" s="232"/>
      <c r="K28" s="222"/>
      <c r="L28" s="293"/>
      <c r="M28" s="293" t="str">
        <f>HLOOKUP($A$3,scenario2,20,FALSE)</f>
        <v>@</v>
      </c>
      <c r="N28" s="293"/>
      <c r="O28" s="214" t="str">
        <f>VLOOKUP($M28,joueurs,2,FALSE)</f>
        <v xml:space="preserve"> </v>
      </c>
      <c r="P28" s="339">
        <f>IF(Tirage!$G$17="","",HLOOKUP($A$3,TourDeJeu,33,FALSE))</f>
        <v>80</v>
      </c>
      <c r="Q28" s="215"/>
      <c r="R28" s="215"/>
      <c r="S28" s="216"/>
      <c r="T28" s="221" t="str">
        <f>IF(R28="","",Q28/R28)</f>
        <v/>
      </c>
      <c r="U28" s="218"/>
      <c r="V28" s="219" t="str">
        <f>IF(ISBLANK(Q28),"",Q28/R28)</f>
        <v/>
      </c>
      <c r="W28" s="238"/>
      <c r="X28" s="220" t="str">
        <f>IF(Q28="","",IF(Q28&gt;Q29,2,IF(Q28=Q29,1,0)))</f>
        <v/>
      </c>
      <c r="Y28" s="220"/>
      <c r="Z28" s="222"/>
      <c r="AA28" s="199" t="s">
        <v>116</v>
      </c>
      <c r="AB28" s="207" t="e">
        <f>VLOOKUP(AC$2,Poule6,9,FALSE)</f>
        <v>#N/A</v>
      </c>
      <c r="AC28" s="208" t="s">
        <v>116</v>
      </c>
      <c r="AD28" s="208">
        <f t="shared" si="33"/>
        <v>0</v>
      </c>
      <c r="AE28" s="208"/>
      <c r="AF28" s="207" t="e">
        <f>VLOOKUP(AG$2,Poule6,9,FALSE)</f>
        <v>#N/A</v>
      </c>
      <c r="AG28" s="208" t="s">
        <v>116</v>
      </c>
      <c r="AH28" s="208">
        <f t="shared" si="34"/>
        <v>0</v>
      </c>
      <c r="AI28" s="208"/>
      <c r="AJ28" s="207" t="e">
        <f>VLOOKUP(AK$2,Poule6,9,FALSE)</f>
        <v>#N/A</v>
      </c>
      <c r="AK28" s="208" t="s">
        <v>116</v>
      </c>
      <c r="AL28" s="208">
        <f t="shared" si="35"/>
        <v>0</v>
      </c>
      <c r="AM28" s="208"/>
      <c r="AN28" s="207" t="e">
        <f>VLOOKUP(AO$2,Poule6,9,FALSE)</f>
        <v>#N/A</v>
      </c>
      <c r="AO28" s="208" t="s">
        <v>116</v>
      </c>
      <c r="AP28" s="208">
        <f t="shared" si="36"/>
        <v>0</v>
      </c>
      <c r="AQ28" s="208"/>
      <c r="AR28" s="207" t="e">
        <f>VLOOKUP(AS$2,Poule6,9,FALSE)</f>
        <v>#N/A</v>
      </c>
      <c r="AS28" s="208" t="s">
        <v>116</v>
      </c>
      <c r="AT28" s="208">
        <f t="shared" si="37"/>
        <v>0</v>
      </c>
      <c r="AU28" s="208"/>
      <c r="AV28" s="207" t="e">
        <f>VLOOKUP(AW$2,Poule6,9,FALSE)</f>
        <v>#N/A</v>
      </c>
      <c r="AW28" s="208" t="s">
        <v>116</v>
      </c>
      <c r="AX28" s="208">
        <f t="shared" si="38"/>
        <v>0</v>
      </c>
      <c r="AY28" s="208"/>
      <c r="AZ28" s="209" t="e">
        <f>VLOOKUP(BA$2,Poule6,9,FALSE)</f>
        <v>#N/A</v>
      </c>
      <c r="BA28" s="208" t="s">
        <v>116</v>
      </c>
      <c r="BB28" s="208">
        <f t="shared" si="39"/>
        <v>0</v>
      </c>
      <c r="BC28" s="208"/>
      <c r="BD28" s="209" t="e">
        <f>VLOOKUP(BE$2,Poule6,9,FALSE)</f>
        <v>#N/A</v>
      </c>
      <c r="BE28" s="208" t="s">
        <v>116</v>
      </c>
      <c r="BF28" s="208">
        <f t="shared" si="40"/>
        <v>0</v>
      </c>
      <c r="BG28" s="208"/>
      <c r="BH28" s="209" t="e">
        <f>VLOOKUP(BI$2,Poule6,9,FALSE)</f>
        <v>#N/A</v>
      </c>
      <c r="BI28" s="208" t="s">
        <v>116</v>
      </c>
      <c r="BJ28" s="208">
        <f t="shared" si="41"/>
        <v>0</v>
      </c>
      <c r="BK28" s="208"/>
      <c r="BL28" s="209" t="e">
        <f>VLOOKUP(BM$2,Poule6,9,FALSE)</f>
        <v>#N/A</v>
      </c>
      <c r="BM28" s="208" t="s">
        <v>116</v>
      </c>
      <c r="BN28" s="208">
        <f t="shared" si="42"/>
        <v>0</v>
      </c>
      <c r="BO28" s="208"/>
      <c r="BP28" s="209" t="e">
        <f>VLOOKUP(BQ$2,Poule6,9,FALSE)</f>
        <v>#N/A</v>
      </c>
      <c r="BQ28" s="208" t="s">
        <v>116</v>
      </c>
      <c r="BR28" s="208">
        <f t="shared" si="43"/>
        <v>0</v>
      </c>
      <c r="BS28" s="208"/>
      <c r="BT28" s="209" t="e">
        <f>VLOOKUP(BU$2,Poule6,9,FALSE)</f>
        <v>#N/A</v>
      </c>
      <c r="BU28" s="208" t="s">
        <v>116</v>
      </c>
      <c r="BV28" s="208">
        <f t="shared" si="44"/>
        <v>0</v>
      </c>
      <c r="BW28" s="208"/>
      <c r="BX28" s="209" t="e">
        <f>VLOOKUP(BY$2,Poule6,9,FALSE)</f>
        <v>#N/A</v>
      </c>
      <c r="BY28" s="208" t="s">
        <v>116</v>
      </c>
      <c r="BZ28" s="208">
        <f t="shared" si="45"/>
        <v>0</v>
      </c>
      <c r="CA28" s="208"/>
      <c r="CB28" s="209" t="e">
        <f>VLOOKUP(CC$2,Poule6,9,FALSE)</f>
        <v>#N/A</v>
      </c>
      <c r="CC28" s="208" t="s">
        <v>116</v>
      </c>
      <c r="CD28" s="208">
        <f t="shared" si="46"/>
        <v>0</v>
      </c>
      <c r="CE28" s="208"/>
      <c r="CF28" s="209" t="e">
        <f>VLOOKUP(CG$2,Poule6,9,FALSE)</f>
        <v>#N/A</v>
      </c>
      <c r="CG28" s="208" t="s">
        <v>116</v>
      </c>
      <c r="CH28" s="208">
        <f t="shared" si="47"/>
        <v>0</v>
      </c>
      <c r="CI28" s="208"/>
      <c r="CJ28" s="209" t="e">
        <f>VLOOKUP(CK$2,Poule6,9,FALSE)</f>
        <v>#N/A</v>
      </c>
      <c r="CK28" s="208" t="s">
        <v>116</v>
      </c>
      <c r="CL28" s="208">
        <f t="shared" si="48"/>
        <v>0</v>
      </c>
      <c r="CM28" s="208"/>
      <c r="CN28" s="209"/>
      <c r="CO28" s="208"/>
      <c r="CP28" s="208"/>
      <c r="CQ28" s="210"/>
      <c r="CR28" s="279"/>
      <c r="CY28" s="280" t="s">
        <v>117</v>
      </c>
      <c r="CZ28" s="280" t="s">
        <v>117</v>
      </c>
      <c r="DA28" s="280" t="s">
        <v>117</v>
      </c>
      <c r="DB28" s="280" t="s">
        <v>117</v>
      </c>
      <c r="DC28" s="280" t="s">
        <v>118</v>
      </c>
      <c r="DE28" s="280" t="s">
        <v>117</v>
      </c>
      <c r="DF28" s="280" t="s">
        <v>117</v>
      </c>
      <c r="DG28" s="280" t="s">
        <v>117</v>
      </c>
      <c r="DH28" s="280" t="s">
        <v>119</v>
      </c>
      <c r="DI28" s="280" t="s">
        <v>117</v>
      </c>
      <c r="DJ28" s="280" t="s">
        <v>117</v>
      </c>
      <c r="DK28" s="280" t="s">
        <v>117</v>
      </c>
      <c r="DL28" s="280" t="s">
        <v>117</v>
      </c>
      <c r="DM28" s="280" t="s">
        <v>117</v>
      </c>
      <c r="DN28" s="280" t="s">
        <v>117</v>
      </c>
      <c r="DP28" s="280" t="s">
        <v>118</v>
      </c>
      <c r="DQ28" s="280" t="s">
        <v>118</v>
      </c>
      <c r="DR28" s="280" t="s">
        <v>118</v>
      </c>
      <c r="DS28" s="280" t="s">
        <v>118</v>
      </c>
      <c r="DT28" s="280" t="s">
        <v>118</v>
      </c>
      <c r="DW28" s="279" t="s">
        <v>118</v>
      </c>
      <c r="DX28" s="279" t="s">
        <v>118</v>
      </c>
      <c r="DY28" s="280" t="s">
        <v>120</v>
      </c>
      <c r="DZ28" s="280" t="s">
        <v>118</v>
      </c>
      <c r="EA28" s="280" t="s">
        <v>118</v>
      </c>
      <c r="EB28" s="280" t="s">
        <v>118</v>
      </c>
      <c r="EC28" s="280" t="s">
        <v>121</v>
      </c>
      <c r="ED28" s="280" t="s">
        <v>118</v>
      </c>
      <c r="EE28" s="280" t="s">
        <v>118</v>
      </c>
      <c r="EJ28" s="279"/>
      <c r="EK28" s="279"/>
      <c r="EL28" s="279"/>
      <c r="EM28" s="199">
        <v>27</v>
      </c>
      <c r="EO28" s="280">
        <f>RANK(FA28,$FA$27:$FB$34)</f>
        <v>2</v>
      </c>
      <c r="EQ28" s="280" t="str">
        <f>AG2</f>
        <v>CASTANER GEORGES</v>
      </c>
      <c r="ER28" s="305">
        <f>AH100</f>
        <v>246</v>
      </c>
      <c r="ES28" s="305">
        <f>AH101</f>
        <v>78</v>
      </c>
      <c r="ET28" s="212">
        <f>AH102</f>
        <v>4</v>
      </c>
      <c r="EU28" s="199">
        <f>AH103</f>
        <v>22</v>
      </c>
      <c r="EV28" s="241">
        <f>AH104</f>
        <v>3.3333333333333335</v>
      </c>
      <c r="EW28" s="199">
        <f>AH105</f>
        <v>0</v>
      </c>
      <c r="EX28" s="241">
        <f>AH106</f>
        <v>0</v>
      </c>
      <c r="EY28" s="350">
        <f t="shared" si="49"/>
        <v>3.1538461538461537</v>
      </c>
      <c r="EZ28" s="350"/>
      <c r="FA28" s="278">
        <f t="shared" ref="FA28:FA34" si="51">ET28+EY28/10000</f>
        <v>4.0003153846153845</v>
      </c>
      <c r="FB28" s="278"/>
      <c r="FE28" s="347">
        <f t="shared" si="50"/>
        <v>3.1538461538461537</v>
      </c>
      <c r="FF28" s="347"/>
      <c r="FG28" s="349">
        <f t="shared" ref="FG28:FG34" si="52">ET28+(FE28/100000)+(EU28/1000000000)</f>
        <v>4.0000315604615384</v>
      </c>
      <c r="FH28" s="349"/>
      <c r="FL28" s="199"/>
      <c r="FM28" s="199"/>
      <c r="FN28" s="199"/>
      <c r="FO28" s="199"/>
      <c r="FP28" s="199"/>
      <c r="FQ28" s="199"/>
      <c r="FR28" s="280"/>
      <c r="FS28" s="280"/>
      <c r="FT28" s="212"/>
      <c r="FU28" s="280"/>
      <c r="FV28" s="280"/>
      <c r="FW28" s="280"/>
      <c r="FX28" s="280"/>
    </row>
    <row r="29" spans="1:180" ht="27.6" x14ac:dyDescent="0.3">
      <c r="A29" s="293"/>
      <c r="B29" s="293"/>
      <c r="C29" s="341" t="str">
        <f>HLOOKUP($A$3,TourDeJeu,30,FALSE)</f>
        <v>Tour n°4</v>
      </c>
      <c r="D29" s="342"/>
      <c r="E29" s="342"/>
      <c r="F29" s="342"/>
      <c r="G29" s="342"/>
      <c r="H29" s="342"/>
      <c r="I29" s="342"/>
      <c r="J29" s="342"/>
      <c r="K29" s="343"/>
      <c r="L29" s="202"/>
      <c r="M29" s="293" t="str">
        <f>HLOOKUP($A$3,scenario2,21,FALSE)</f>
        <v>@</v>
      </c>
      <c r="N29" s="293"/>
      <c r="O29" s="214" t="str">
        <f>VLOOKUP($M29,joueurs,2,FALSE)</f>
        <v xml:space="preserve"> </v>
      </c>
      <c r="P29" s="340"/>
      <c r="Q29" s="215"/>
      <c r="R29" s="223" t="str">
        <f>IF(R28="","",R28)</f>
        <v/>
      </c>
      <c r="S29" s="216"/>
      <c r="T29" s="221" t="str">
        <f>IF(Q29="","",Q29/R29)</f>
        <v/>
      </c>
      <c r="U29" s="224">
        <f>U28</f>
        <v>0</v>
      </c>
      <c r="V29" s="219" t="str">
        <f>IF(ISBLANK(Q29),"",Q29/R29)</f>
        <v/>
      </c>
      <c r="W29" s="238"/>
      <c r="X29" s="220" t="str">
        <f>IF(Q29="","",IF(Q29&gt;Q28,2,IF(Q29=Q28,1,0)))</f>
        <v/>
      </c>
      <c r="Y29" s="220"/>
      <c r="Z29" s="202"/>
      <c r="AA29" s="199" t="s">
        <v>122</v>
      </c>
      <c r="AB29" s="209"/>
      <c r="AC29" s="236" t="s">
        <v>123</v>
      </c>
      <c r="AD29" s="225">
        <f>SUM(AD23:AD28)</f>
        <v>2</v>
      </c>
      <c r="AE29" s="208"/>
      <c r="AF29" s="209"/>
      <c r="AG29" s="236" t="s">
        <v>123</v>
      </c>
      <c r="AH29" s="225">
        <f>SUM(AH23:AH28)</f>
        <v>4</v>
      </c>
      <c r="AI29" s="208"/>
      <c r="AJ29" s="209"/>
      <c r="AK29" s="236" t="s">
        <v>123</v>
      </c>
      <c r="AL29" s="225">
        <f>SUM(AL23:AL28)</f>
        <v>7</v>
      </c>
      <c r="AM29" s="208"/>
      <c r="AN29" s="209"/>
      <c r="AO29" s="236" t="s">
        <v>123</v>
      </c>
      <c r="AP29" s="225">
        <f>SUM(AP23:AP28)</f>
        <v>0</v>
      </c>
      <c r="AQ29" s="208"/>
      <c r="AR29" s="209"/>
      <c r="AS29" s="236" t="s">
        <v>123</v>
      </c>
      <c r="AT29" s="225">
        <f>SUM(AT23:AT28)</f>
        <v>3</v>
      </c>
      <c r="AU29" s="208"/>
      <c r="AV29" s="209"/>
      <c r="AW29" s="236" t="s">
        <v>123</v>
      </c>
      <c r="AX29" s="225">
        <f>SUM(AX23:AX28)</f>
        <v>0</v>
      </c>
      <c r="AY29" s="208"/>
      <c r="AZ29" s="209"/>
      <c r="BA29" s="236" t="s">
        <v>123</v>
      </c>
      <c r="BB29" s="225">
        <f>SUM(BB23:BB28)</f>
        <v>0</v>
      </c>
      <c r="BC29" s="208"/>
      <c r="BD29" s="209"/>
      <c r="BE29" s="236" t="s">
        <v>123</v>
      </c>
      <c r="BF29" s="225">
        <f>SUM(BF23:BF28)</f>
        <v>0</v>
      </c>
      <c r="BG29" s="208"/>
      <c r="BH29" s="209"/>
      <c r="BI29" s="236" t="s">
        <v>123</v>
      </c>
      <c r="BJ29" s="225">
        <f>SUM(BJ23:BJ28)</f>
        <v>0</v>
      </c>
      <c r="BK29" s="208"/>
      <c r="BL29" s="209"/>
      <c r="BM29" s="236" t="s">
        <v>123</v>
      </c>
      <c r="BN29" s="225">
        <f>SUM(BN23:BN28)</f>
        <v>0</v>
      </c>
      <c r="BO29" s="208"/>
      <c r="BP29" s="209"/>
      <c r="BQ29" s="236" t="s">
        <v>123</v>
      </c>
      <c r="BR29" s="225">
        <f>SUM(BR23:BR28)</f>
        <v>0</v>
      </c>
      <c r="BS29" s="208"/>
      <c r="BT29" s="209"/>
      <c r="BU29" s="236" t="s">
        <v>123</v>
      </c>
      <c r="BV29" s="225">
        <f>SUM(BV23:BV28)</f>
        <v>0</v>
      </c>
      <c r="BW29" s="208"/>
      <c r="BX29" s="209"/>
      <c r="BY29" s="236" t="s">
        <v>123</v>
      </c>
      <c r="BZ29" s="225">
        <f>SUM(BZ23:BZ28)</f>
        <v>0</v>
      </c>
      <c r="CA29" s="208"/>
      <c r="CB29" s="209"/>
      <c r="CC29" s="236" t="s">
        <v>123</v>
      </c>
      <c r="CD29" s="225">
        <f>SUM(CD23:CD28)</f>
        <v>0</v>
      </c>
      <c r="CE29" s="208"/>
      <c r="CF29" s="209"/>
      <c r="CG29" s="236" t="s">
        <v>123</v>
      </c>
      <c r="CH29" s="225">
        <f>SUM(CH23:CH28)</f>
        <v>0</v>
      </c>
      <c r="CI29" s="208"/>
      <c r="CJ29" s="209"/>
      <c r="CK29" s="236" t="s">
        <v>123</v>
      </c>
      <c r="CL29" s="225">
        <f>SUM(CL23:CL28)</f>
        <v>0</v>
      </c>
      <c r="CM29" s="208"/>
      <c r="CN29" s="209"/>
      <c r="CO29" s="208"/>
      <c r="CP29" s="208"/>
      <c r="CQ29" s="210"/>
      <c r="CY29" s="280" t="s">
        <v>124</v>
      </c>
      <c r="CZ29" s="280" t="s">
        <v>124</v>
      </c>
      <c r="DA29" s="280" t="s">
        <v>124</v>
      </c>
      <c r="DB29" s="280" t="s">
        <v>124</v>
      </c>
      <c r="DC29" s="280" t="s">
        <v>118</v>
      </c>
      <c r="DE29" s="280" t="s">
        <v>124</v>
      </c>
      <c r="DF29" s="280" t="s">
        <v>124</v>
      </c>
      <c r="DG29" s="280" t="s">
        <v>124</v>
      </c>
      <c r="DH29" s="280" t="s">
        <v>125</v>
      </c>
      <c r="DI29" s="280" t="s">
        <v>124</v>
      </c>
      <c r="DJ29" s="280" t="s">
        <v>124</v>
      </c>
      <c r="DK29" s="280" t="s">
        <v>124</v>
      </c>
      <c r="DL29" s="280" t="s">
        <v>124</v>
      </c>
      <c r="DM29" s="280" t="s">
        <v>124</v>
      </c>
      <c r="DN29" s="280" t="s">
        <v>124</v>
      </c>
      <c r="DP29" s="280" t="s">
        <v>118</v>
      </c>
      <c r="DQ29" s="280" t="s">
        <v>118</v>
      </c>
      <c r="DR29" s="280" t="s">
        <v>118</v>
      </c>
      <c r="DS29" s="280" t="s">
        <v>118</v>
      </c>
      <c r="DT29" s="280" t="s">
        <v>118</v>
      </c>
      <c r="DW29" s="280" t="s">
        <v>118</v>
      </c>
      <c r="DX29" s="280" t="s">
        <v>118</v>
      </c>
      <c r="DY29" s="280" t="s">
        <v>126</v>
      </c>
      <c r="DZ29" s="280" t="s">
        <v>118</v>
      </c>
      <c r="EA29" s="280" t="s">
        <v>118</v>
      </c>
      <c r="EB29" s="280" t="s">
        <v>118</v>
      </c>
      <c r="EC29" s="280" t="s">
        <v>118</v>
      </c>
      <c r="ED29" s="280" t="s">
        <v>118</v>
      </c>
      <c r="EE29" s="280" t="s">
        <v>417</v>
      </c>
      <c r="EM29" s="199">
        <v>28</v>
      </c>
      <c r="EO29" s="280">
        <f t="shared" ref="EO29:EO34" si="53">RANK(FA29,$FA$27:$FB$34)</f>
        <v>1</v>
      </c>
      <c r="EQ29" s="280" t="str">
        <f>AK2</f>
        <v>CREDOT GERALD</v>
      </c>
      <c r="ER29" s="283">
        <f>AL100</f>
        <v>320</v>
      </c>
      <c r="ES29" s="283">
        <f>AL101</f>
        <v>86</v>
      </c>
      <c r="ET29" s="283">
        <f>AL102</f>
        <v>7</v>
      </c>
      <c r="EU29" s="283">
        <f>AL103</f>
        <v>17</v>
      </c>
      <c r="EV29" s="307">
        <f>AL104</f>
        <v>4</v>
      </c>
      <c r="EW29" s="307">
        <f>AL105</f>
        <v>0</v>
      </c>
      <c r="EX29" s="307">
        <f>AL106</f>
        <v>0</v>
      </c>
      <c r="EY29" s="350">
        <f t="shared" si="49"/>
        <v>3.7209302325581395</v>
      </c>
      <c r="EZ29" s="350"/>
      <c r="FA29" s="278">
        <f t="shared" si="51"/>
        <v>7.0003720930232562</v>
      </c>
      <c r="FB29" s="278"/>
      <c r="FE29" s="347">
        <f t="shared" si="50"/>
        <v>3.7209302325581395</v>
      </c>
      <c r="FF29" s="347"/>
      <c r="FG29" s="349">
        <f t="shared" si="52"/>
        <v>7.0000372263023252</v>
      </c>
      <c r="FH29" s="349"/>
      <c r="FL29" s="199"/>
      <c r="FM29" s="199"/>
      <c r="FN29" s="199"/>
      <c r="FO29" s="199"/>
      <c r="FP29" s="199"/>
      <c r="FQ29" s="199"/>
      <c r="FR29" s="280"/>
      <c r="FS29" s="280"/>
      <c r="FT29" s="212"/>
      <c r="FU29" s="280"/>
      <c r="FV29" s="280"/>
      <c r="FW29" s="280"/>
      <c r="FX29" s="280"/>
    </row>
    <row r="30" spans="1:180" ht="21" customHeight="1" x14ac:dyDescent="0.3">
      <c r="C30" s="302"/>
      <c r="D30" s="302"/>
      <c r="E30" s="302"/>
      <c r="F30" s="302"/>
      <c r="G30" s="303"/>
      <c r="H30" s="293"/>
      <c r="I30" s="304"/>
      <c r="J30" s="293"/>
      <c r="K30" s="293"/>
      <c r="L30" s="293"/>
      <c r="AA30" s="199"/>
      <c r="AB30" s="209"/>
      <c r="AC30" s="208"/>
      <c r="AD30" s="208"/>
      <c r="AE30" s="208"/>
      <c r="AF30" s="209"/>
      <c r="AG30" s="208"/>
      <c r="AH30" s="208"/>
      <c r="AI30" s="208"/>
      <c r="AJ30" s="209"/>
      <c r="AK30" s="208"/>
      <c r="AL30" s="208"/>
      <c r="AM30" s="208"/>
      <c r="AN30" s="209"/>
      <c r="AO30" s="208"/>
      <c r="AP30" s="208"/>
      <c r="AQ30" s="208"/>
      <c r="AR30" s="209"/>
      <c r="AS30" s="208"/>
      <c r="AT30" s="208"/>
      <c r="AU30" s="208"/>
      <c r="AV30" s="209"/>
      <c r="AW30" s="208"/>
      <c r="AX30" s="208"/>
      <c r="AY30" s="208"/>
      <c r="AZ30" s="209"/>
      <c r="BA30" s="208"/>
      <c r="BB30" s="208"/>
      <c r="BC30" s="208"/>
      <c r="BD30" s="209"/>
      <c r="BE30" s="208"/>
      <c r="BF30" s="208"/>
      <c r="BG30" s="208"/>
      <c r="BH30" s="209"/>
      <c r="BI30" s="208"/>
      <c r="BJ30" s="208"/>
      <c r="BK30" s="208"/>
      <c r="BL30" s="209"/>
      <c r="BM30" s="208"/>
      <c r="BN30" s="208"/>
      <c r="BO30" s="208"/>
      <c r="BP30" s="209"/>
      <c r="BQ30" s="208"/>
      <c r="BR30" s="208"/>
      <c r="BS30" s="208"/>
      <c r="BT30" s="209"/>
      <c r="BU30" s="208"/>
      <c r="BV30" s="208"/>
      <c r="BW30" s="208"/>
      <c r="BX30" s="209"/>
      <c r="BY30" s="208"/>
      <c r="BZ30" s="208"/>
      <c r="CA30" s="208"/>
      <c r="CB30" s="209"/>
      <c r="CC30" s="208"/>
      <c r="CD30" s="208"/>
      <c r="CE30" s="208"/>
      <c r="CF30" s="209"/>
      <c r="CG30" s="208"/>
      <c r="CH30" s="208"/>
      <c r="CI30" s="208"/>
      <c r="CJ30" s="209"/>
      <c r="CK30" s="208"/>
      <c r="CL30" s="208"/>
      <c r="CM30" s="208"/>
      <c r="CN30" s="213"/>
      <c r="CO30" s="242"/>
      <c r="CP30" s="208"/>
      <c r="CQ30" s="210"/>
      <c r="CY30" s="280" t="s">
        <v>118</v>
      </c>
      <c r="CZ30" s="280" t="s">
        <v>127</v>
      </c>
      <c r="DA30" s="280" t="s">
        <v>127</v>
      </c>
      <c r="DB30" s="280" t="s">
        <v>127</v>
      </c>
      <c r="DC30" s="280" t="s">
        <v>118</v>
      </c>
      <c r="DE30" s="280" t="s">
        <v>127</v>
      </c>
      <c r="DF30" s="280" t="s">
        <v>127</v>
      </c>
      <c r="DG30" s="280" t="s">
        <v>127</v>
      </c>
      <c r="DH30" s="280" t="s">
        <v>128</v>
      </c>
      <c r="DI30" s="280" t="s">
        <v>127</v>
      </c>
      <c r="DJ30" s="280" t="s">
        <v>127</v>
      </c>
      <c r="DK30" s="280" t="s">
        <v>127</v>
      </c>
      <c r="DL30" s="280" t="s">
        <v>127</v>
      </c>
      <c r="DM30" s="280" t="s">
        <v>127</v>
      </c>
      <c r="DN30" s="280" t="s">
        <v>127</v>
      </c>
      <c r="DP30" s="280" t="s">
        <v>118</v>
      </c>
      <c r="DQ30" s="280" t="s">
        <v>118</v>
      </c>
      <c r="DR30" s="280" t="s">
        <v>118</v>
      </c>
      <c r="DS30" s="280" t="s">
        <v>118</v>
      </c>
      <c r="DT30" s="280" t="s">
        <v>118</v>
      </c>
      <c r="DW30" s="280" t="s">
        <v>118</v>
      </c>
      <c r="DX30" s="280" t="s">
        <v>118</v>
      </c>
      <c r="DY30" s="280" t="s">
        <v>118</v>
      </c>
      <c r="DZ30" s="280" t="s">
        <v>118</v>
      </c>
      <c r="EA30" s="280" t="s">
        <v>118</v>
      </c>
      <c r="EB30" s="280" t="s">
        <v>118</v>
      </c>
      <c r="EC30" s="280" t="s">
        <v>118</v>
      </c>
      <c r="ED30" s="280" t="s">
        <v>118</v>
      </c>
      <c r="EE30" s="280" t="s">
        <v>129</v>
      </c>
      <c r="EM30" s="199">
        <v>29</v>
      </c>
      <c r="EO30" s="280">
        <f t="shared" si="53"/>
        <v>5</v>
      </c>
      <c r="EQ30" s="280" t="str">
        <f>AO2</f>
        <v>BLANCHARD THIERRY</v>
      </c>
      <c r="ER30" s="283">
        <f>AP100</f>
        <v>214</v>
      </c>
      <c r="ES30" s="283">
        <f>AP101</f>
        <v>82</v>
      </c>
      <c r="ET30" s="283">
        <f>AP102</f>
        <v>0</v>
      </c>
      <c r="EU30" s="283">
        <f>AP103</f>
        <v>20</v>
      </c>
      <c r="EV30" s="307">
        <f>AP104</f>
        <v>0</v>
      </c>
      <c r="EW30" s="280">
        <f>AP105</f>
        <v>0</v>
      </c>
      <c r="EX30" s="280">
        <f>AP106</f>
        <v>0</v>
      </c>
      <c r="EY30" s="350">
        <f t="shared" si="49"/>
        <v>2.6097560975609757</v>
      </c>
      <c r="EZ30" s="350"/>
      <c r="FA30" s="278">
        <f t="shared" si="51"/>
        <v>2.609756097560976E-4</v>
      </c>
      <c r="FB30" s="278"/>
      <c r="FE30" s="354">
        <f t="shared" si="50"/>
        <v>2.6097560975609757</v>
      </c>
      <c r="FF30" s="354"/>
      <c r="FG30" s="349">
        <f t="shared" si="52"/>
        <v>2.6117560975609756E-5</v>
      </c>
      <c r="FH30" s="349"/>
      <c r="FL30" s="199"/>
      <c r="FM30" s="199"/>
      <c r="FN30" s="199"/>
      <c r="FO30" s="199"/>
      <c r="FP30" s="199"/>
      <c r="FQ30" s="280"/>
      <c r="FR30" s="280"/>
      <c r="FS30" s="212"/>
      <c r="FT30" s="280"/>
      <c r="FU30" s="280"/>
      <c r="FV30" s="280"/>
      <c r="FW30" s="280"/>
      <c r="FX30" s="280"/>
    </row>
    <row r="31" spans="1:180" ht="21" customHeight="1" x14ac:dyDescent="0.3">
      <c r="A31" s="293">
        <f>HLOOKUP($A$3,Scenario1,20,FALSE)</f>
        <v>1</v>
      </c>
      <c r="B31" s="338" t="str">
        <f>IF(Tirage!$H$3="Finale 5 Joueurs","Billard 2","")</f>
        <v>Billard 2</v>
      </c>
      <c r="C31" s="214" t="str">
        <f>VLOOKUP($A31,joueurs,2,FALSE)</f>
        <v>HENWOOD PHILIPPE</v>
      </c>
      <c r="D31" s="339">
        <f>IF(Tirage!$G$17="","",HLOOKUP($A$3,TourDeJeu,33,FALSE))</f>
        <v>80</v>
      </c>
      <c r="E31" s="215">
        <v>59</v>
      </c>
      <c r="F31" s="215">
        <v>22</v>
      </c>
      <c r="G31" s="216">
        <v>12</v>
      </c>
      <c r="H31" s="217">
        <f>IF(F31="","",E31/F31)</f>
        <v>2.6818181818181817</v>
      </c>
      <c r="I31" s="218"/>
      <c r="J31" s="219">
        <f>IF(ISBLANK(E31),"",E31/F31+(G31/100))</f>
        <v>2.8018181818181818</v>
      </c>
      <c r="K31" s="220">
        <f>IF(E31="","",IF(E31&gt;E32,2,IF(E31=E32,1,0)))</f>
        <v>0</v>
      </c>
      <c r="L31" s="293"/>
      <c r="AA31" s="199" t="s">
        <v>130</v>
      </c>
      <c r="AB31" s="213">
        <f t="shared" ref="AB31:AB36" si="54">IF(AND(AD23&gt;0,AD15&gt;0),AD3/AD15,0)</f>
        <v>0</v>
      </c>
      <c r="AC31" s="242"/>
      <c r="AD31" s="208"/>
      <c r="AE31" s="208"/>
      <c r="AF31" s="213">
        <f t="shared" ref="AF31:AF36" si="55">IF(AND(AH23&gt;0,AH15&gt;0),AH3/AH15,0)</f>
        <v>3.3333333333333335</v>
      </c>
      <c r="AG31" s="242"/>
      <c r="AH31" s="208"/>
      <c r="AI31" s="208"/>
      <c r="AJ31" s="213">
        <f t="shared" ref="AJ31:AJ36" si="56">IF(AND(AL23&gt;0,AL15&gt;0),AL3/AL15,0)</f>
        <v>3.4782608695652173</v>
      </c>
      <c r="AK31" s="242"/>
      <c r="AL31" s="208"/>
      <c r="AM31" s="208"/>
      <c r="AN31" s="213">
        <f t="shared" ref="AN31:AN36" si="57">IF(AND(AP23&gt;0,AP15&gt;0),AP3/AP15,0)</f>
        <v>0</v>
      </c>
      <c r="AO31" s="242"/>
      <c r="AP31" s="208"/>
      <c r="AQ31" s="208"/>
      <c r="AR31" s="213">
        <f t="shared" ref="AR31:AR36" si="58">IF(AND(AT23&gt;0,AT15&gt;0),AT3/AT15,0)</f>
        <v>0</v>
      </c>
      <c r="AS31" s="242"/>
      <c r="AT31" s="208"/>
      <c r="AU31" s="208"/>
      <c r="AV31" s="213">
        <f t="shared" ref="AV31:AV36" si="59">IF(AND(AX23&gt;0,AX15&gt;0),AX3/AX15,0)</f>
        <v>0</v>
      </c>
      <c r="AW31" s="242"/>
      <c r="AX31" s="208"/>
      <c r="AY31" s="208"/>
      <c r="AZ31" s="213">
        <f t="shared" ref="AZ31:AZ36" si="60">IF(AND(BB23&gt;0,BB15&gt;0),BB3/BB15,0)</f>
        <v>0</v>
      </c>
      <c r="BA31" s="242"/>
      <c r="BB31" s="208"/>
      <c r="BC31" s="208"/>
      <c r="BD31" s="213">
        <f t="shared" ref="BD31:BD36" si="61">IF(AND(BF23&gt;0,BF15&gt;0),BF3/BF15,0)</f>
        <v>0</v>
      </c>
      <c r="BE31" s="242"/>
      <c r="BF31" s="208"/>
      <c r="BG31" s="208"/>
      <c r="BH31" s="213">
        <f t="shared" ref="BH31:BH36" si="62">IF(AND(BJ23&gt;0,BJ15&gt;0),BJ3/BJ15,0)</f>
        <v>0</v>
      </c>
      <c r="BI31" s="242"/>
      <c r="BJ31" s="208"/>
      <c r="BK31" s="208"/>
      <c r="BL31" s="213">
        <f t="shared" ref="BL31:BL36" si="63">IF(AND(BN23&gt;0,BN15&gt;0),BN3/BN15,0)</f>
        <v>0</v>
      </c>
      <c r="BM31" s="242"/>
      <c r="BN31" s="208"/>
      <c r="BO31" s="208"/>
      <c r="BP31" s="213">
        <f t="shared" ref="BP31:BP36" si="64">IF(AND(BR23&gt;0,BR15&gt;0),BR3/BR15,0)</f>
        <v>0</v>
      </c>
      <c r="BQ31" s="242"/>
      <c r="BR31" s="208"/>
      <c r="BS31" s="208"/>
      <c r="BT31" s="213">
        <f t="shared" ref="BT31:BT36" si="65">IF(AND(BV23&gt;0,BV15&gt;0),BV3/BV15,0)</f>
        <v>0</v>
      </c>
      <c r="BU31" s="242"/>
      <c r="BV31" s="208"/>
      <c r="BW31" s="208"/>
      <c r="BX31" s="213">
        <f t="shared" ref="BX31:BX36" si="66">IF(AND(BZ23&gt;0,BZ15&gt;0),BZ3/BZ15,0)</f>
        <v>0</v>
      </c>
      <c r="BY31" s="242"/>
      <c r="BZ31" s="208"/>
      <c r="CA31" s="208"/>
      <c r="CB31" s="213">
        <f t="shared" ref="CB31:CB36" si="67">IF(AND(CD23&gt;0,CD15&gt;0),CD3/CD15,0)</f>
        <v>0</v>
      </c>
      <c r="CC31" s="242"/>
      <c r="CD31" s="208"/>
      <c r="CE31" s="208"/>
      <c r="CF31" s="213">
        <f t="shared" ref="CF31:CF36" si="68">IF(AND(CH23&gt;0,CH15&gt;0),CH3/CH15,0)</f>
        <v>0</v>
      </c>
      <c r="CG31" s="242"/>
      <c r="CH31" s="208"/>
      <c r="CI31" s="208"/>
      <c r="CJ31" s="213">
        <f t="shared" ref="CJ31:CJ36" si="69">IF(AND(CL23&gt;0,CL15&gt;0),CL3/CL15,0)</f>
        <v>0</v>
      </c>
      <c r="CK31" s="242"/>
      <c r="CL31" s="208"/>
      <c r="CM31" s="208"/>
      <c r="CN31" s="213"/>
      <c r="CO31" s="242"/>
      <c r="CP31" s="208"/>
      <c r="CQ31" s="210"/>
      <c r="CY31" s="280" t="s">
        <v>118</v>
      </c>
      <c r="CZ31" s="280" t="s">
        <v>118</v>
      </c>
      <c r="DA31" s="280" t="s">
        <v>118</v>
      </c>
      <c r="DB31" s="280" t="s">
        <v>118</v>
      </c>
      <c r="DC31" s="280" t="s">
        <v>118</v>
      </c>
      <c r="DE31" s="280" t="s">
        <v>118</v>
      </c>
      <c r="DF31" s="280" t="s">
        <v>118</v>
      </c>
      <c r="DG31" s="280" t="s">
        <v>118</v>
      </c>
      <c r="DH31" s="280" t="s">
        <v>131</v>
      </c>
      <c r="DI31" s="280" t="s">
        <v>118</v>
      </c>
      <c r="DJ31" s="280" t="s">
        <v>118</v>
      </c>
      <c r="DK31" s="280" t="s">
        <v>118</v>
      </c>
      <c r="DL31" s="280" t="s">
        <v>132</v>
      </c>
      <c r="DM31" s="280" t="s">
        <v>118</v>
      </c>
      <c r="DN31" s="280" t="s">
        <v>118</v>
      </c>
      <c r="DO31" s="280" t="s">
        <v>118</v>
      </c>
      <c r="DP31" s="280" t="s">
        <v>118</v>
      </c>
      <c r="DQ31" s="280" t="s">
        <v>118</v>
      </c>
      <c r="DR31" s="280" t="s">
        <v>118</v>
      </c>
      <c r="DS31" s="280" t="s">
        <v>118</v>
      </c>
      <c r="DT31" s="280" t="s">
        <v>118</v>
      </c>
      <c r="DW31" s="280" t="s">
        <v>118</v>
      </c>
      <c r="DX31" s="280" t="s">
        <v>118</v>
      </c>
      <c r="DY31" s="280" t="s">
        <v>118</v>
      </c>
      <c r="DZ31" s="280" t="s">
        <v>118</v>
      </c>
      <c r="EA31" s="280" t="s">
        <v>118</v>
      </c>
      <c r="EB31" s="280" t="s">
        <v>118</v>
      </c>
      <c r="EC31" s="280" t="s">
        <v>118</v>
      </c>
      <c r="ED31" s="280" t="s">
        <v>118</v>
      </c>
      <c r="EE31" s="280" t="s">
        <v>416</v>
      </c>
      <c r="EM31" s="199">
        <v>30</v>
      </c>
      <c r="EO31" s="280">
        <f t="shared" si="53"/>
        <v>3</v>
      </c>
      <c r="EQ31" s="280" t="str">
        <f>AS2</f>
        <v>LACHOQUE DANIEL</v>
      </c>
      <c r="ER31" s="305">
        <f>AT100</f>
        <v>256</v>
      </c>
      <c r="ES31" s="305">
        <f>AT101</f>
        <v>73</v>
      </c>
      <c r="ET31" s="305">
        <f>AT102</f>
        <v>3</v>
      </c>
      <c r="EU31" s="305">
        <f>AT103</f>
        <v>19</v>
      </c>
      <c r="EV31" s="306">
        <f>AT104</f>
        <v>8.8888888888888893</v>
      </c>
      <c r="EW31" s="280">
        <f>AT105</f>
        <v>0</v>
      </c>
      <c r="EX31" s="306">
        <f>AT106</f>
        <v>0</v>
      </c>
      <c r="EY31" s="350">
        <f t="shared" si="49"/>
        <v>3.506849315068493</v>
      </c>
      <c r="EZ31" s="350"/>
      <c r="FA31" s="278">
        <f t="shared" si="51"/>
        <v>3.0003506849315067</v>
      </c>
      <c r="FB31" s="278"/>
      <c r="FE31" s="354">
        <f t="shared" si="50"/>
        <v>3.506849315068493</v>
      </c>
      <c r="FF31" s="354"/>
      <c r="FG31" s="349">
        <f t="shared" si="52"/>
        <v>3.0000350874931505</v>
      </c>
      <c r="FH31" s="349"/>
      <c r="FL31" s="199"/>
      <c r="FM31" s="199"/>
      <c r="FN31" s="199"/>
      <c r="FO31" s="199"/>
      <c r="FP31" s="199"/>
      <c r="FQ31" s="280"/>
      <c r="FR31" s="280"/>
      <c r="FS31" s="212"/>
      <c r="FT31" s="280"/>
      <c r="FU31" s="280"/>
      <c r="FV31" s="280"/>
      <c r="FW31" s="280"/>
      <c r="FX31" s="280"/>
    </row>
    <row r="32" spans="1:180" ht="21" customHeight="1" x14ac:dyDescent="0.3">
      <c r="A32" s="293">
        <f>HLOOKUP($A$3,Scenario1,21,FALSE)</f>
        <v>3</v>
      </c>
      <c r="B32" s="338"/>
      <c r="C32" s="214" t="str">
        <f>VLOOKUP($A32,joueurs,2,FALSE)</f>
        <v>CREDOT GERALD</v>
      </c>
      <c r="D32" s="340"/>
      <c r="E32" s="215">
        <v>80</v>
      </c>
      <c r="F32" s="223">
        <f>IF(F31="","",F31)</f>
        <v>22</v>
      </c>
      <c r="G32" s="216">
        <v>17</v>
      </c>
      <c r="H32" s="217">
        <f>IF(E32="","",E32/F32)</f>
        <v>3.6363636363636362</v>
      </c>
      <c r="I32" s="224">
        <f>I31</f>
        <v>0</v>
      </c>
      <c r="J32" s="219">
        <f>IF(ISBLANK(E32),"",E32/F32+(G32/100))</f>
        <v>3.8063636363636362</v>
      </c>
      <c r="K32" s="220">
        <f>IF(E32="","",IF(E32&gt;E31,2,IF(E32=E31,1,0)))</f>
        <v>2</v>
      </c>
      <c r="L32" s="293"/>
      <c r="AA32" s="199" t="s">
        <v>133</v>
      </c>
      <c r="AB32" s="213">
        <f t="shared" si="54"/>
        <v>0</v>
      </c>
      <c r="AC32" s="242"/>
      <c r="AD32" s="208"/>
      <c r="AE32" s="208"/>
      <c r="AF32" s="213">
        <f t="shared" si="55"/>
        <v>0</v>
      </c>
      <c r="AG32" s="242"/>
      <c r="AH32" s="208"/>
      <c r="AI32" s="208"/>
      <c r="AJ32" s="213">
        <f t="shared" si="56"/>
        <v>3.8095238095238093</v>
      </c>
      <c r="AK32" s="242"/>
      <c r="AL32" s="208"/>
      <c r="AM32" s="208"/>
      <c r="AN32" s="213">
        <f t="shared" si="57"/>
        <v>0</v>
      </c>
      <c r="AO32" s="242"/>
      <c r="AP32" s="208"/>
      <c r="AQ32" s="208"/>
      <c r="AR32" s="213">
        <f t="shared" si="58"/>
        <v>8.8888888888888893</v>
      </c>
      <c r="AS32" s="242"/>
      <c r="AT32" s="208"/>
      <c r="AU32" s="208"/>
      <c r="AV32" s="213">
        <f t="shared" si="59"/>
        <v>0</v>
      </c>
      <c r="AW32" s="242"/>
      <c r="AX32" s="208"/>
      <c r="AY32" s="208"/>
      <c r="AZ32" s="213">
        <f t="shared" si="60"/>
        <v>0</v>
      </c>
      <c r="BA32" s="242"/>
      <c r="BB32" s="208"/>
      <c r="BC32" s="208"/>
      <c r="BD32" s="213">
        <f t="shared" si="61"/>
        <v>0</v>
      </c>
      <c r="BE32" s="242"/>
      <c r="BF32" s="208"/>
      <c r="BG32" s="208"/>
      <c r="BH32" s="213">
        <f t="shared" si="62"/>
        <v>0</v>
      </c>
      <c r="BI32" s="242"/>
      <c r="BJ32" s="208"/>
      <c r="BK32" s="208"/>
      <c r="BL32" s="213">
        <f t="shared" si="63"/>
        <v>0</v>
      </c>
      <c r="BM32" s="242"/>
      <c r="BN32" s="208"/>
      <c r="BO32" s="208"/>
      <c r="BP32" s="213">
        <f t="shared" si="64"/>
        <v>0</v>
      </c>
      <c r="BQ32" s="242"/>
      <c r="BR32" s="208"/>
      <c r="BS32" s="208"/>
      <c r="BT32" s="213">
        <f t="shared" si="65"/>
        <v>0</v>
      </c>
      <c r="BU32" s="242"/>
      <c r="BV32" s="208"/>
      <c r="BW32" s="208"/>
      <c r="BX32" s="213">
        <f t="shared" si="66"/>
        <v>0</v>
      </c>
      <c r="BY32" s="242"/>
      <c r="BZ32" s="208"/>
      <c r="CA32" s="208"/>
      <c r="CB32" s="213">
        <f t="shared" si="67"/>
        <v>0</v>
      </c>
      <c r="CC32" s="242"/>
      <c r="CD32" s="208"/>
      <c r="CE32" s="208"/>
      <c r="CF32" s="213">
        <f t="shared" si="68"/>
        <v>0</v>
      </c>
      <c r="CG32" s="242"/>
      <c r="CH32" s="208"/>
      <c r="CI32" s="208"/>
      <c r="CJ32" s="213">
        <f t="shared" si="69"/>
        <v>0</v>
      </c>
      <c r="CK32" s="242"/>
      <c r="CL32" s="208"/>
      <c r="CM32" s="208"/>
      <c r="CN32" s="213"/>
      <c r="CO32" s="242"/>
      <c r="CP32" s="208"/>
      <c r="CQ32" s="210"/>
      <c r="DP32" s="280" t="s">
        <v>118</v>
      </c>
      <c r="DQ32" s="280" t="s">
        <v>118</v>
      </c>
      <c r="DR32" s="280" t="s">
        <v>118</v>
      </c>
      <c r="DS32" s="280" t="s">
        <v>118</v>
      </c>
      <c r="DT32" s="280" t="s">
        <v>118</v>
      </c>
      <c r="DW32" s="280" t="s">
        <v>118</v>
      </c>
      <c r="DX32" s="280" t="s">
        <v>118</v>
      </c>
      <c r="DY32" s="280" t="s">
        <v>118</v>
      </c>
      <c r="DZ32" s="280" t="s">
        <v>118</v>
      </c>
      <c r="EA32" s="280" t="s">
        <v>118</v>
      </c>
      <c r="EB32" s="280" t="s">
        <v>118</v>
      </c>
      <c r="EC32" s="280" t="s">
        <v>118</v>
      </c>
      <c r="ED32" s="280" t="s">
        <v>118</v>
      </c>
      <c r="EE32" s="280" t="s">
        <v>118</v>
      </c>
      <c r="EM32" s="199">
        <v>31</v>
      </c>
      <c r="EO32" s="280">
        <f t="shared" si="53"/>
        <v>6</v>
      </c>
      <c r="EQ32" s="280" t="e">
        <f>AW2</f>
        <v>#N/A</v>
      </c>
      <c r="ER32" s="305">
        <f>AX100</f>
        <v>0</v>
      </c>
      <c r="ES32" s="305">
        <f>AX101</f>
        <v>0</v>
      </c>
      <c r="ET32" s="305">
        <f>AX102</f>
        <v>0</v>
      </c>
      <c r="EU32" s="305">
        <f>AX103</f>
        <v>0</v>
      </c>
      <c r="EV32" s="306">
        <f>AX104</f>
        <v>0</v>
      </c>
      <c r="EW32" s="306">
        <f>AX105</f>
        <v>0</v>
      </c>
      <c r="EX32" s="306">
        <f>AX106</f>
        <v>0</v>
      </c>
      <c r="EY32" s="350">
        <f t="shared" si="49"/>
        <v>0</v>
      </c>
      <c r="EZ32" s="350"/>
      <c r="FA32" s="278">
        <f t="shared" si="51"/>
        <v>0</v>
      </c>
      <c r="FB32" s="278"/>
      <c r="FE32" s="354" t="e">
        <f t="shared" si="50"/>
        <v>#DIV/0!</v>
      </c>
      <c r="FF32" s="354"/>
      <c r="FG32" s="349" t="e">
        <f t="shared" si="52"/>
        <v>#DIV/0!</v>
      </c>
      <c r="FH32" s="349"/>
      <c r="FL32" s="199"/>
      <c r="FM32" s="199"/>
      <c r="FN32" s="199"/>
      <c r="FO32" s="199"/>
      <c r="FP32" s="199"/>
      <c r="FQ32" s="280"/>
      <c r="FR32" s="280"/>
      <c r="FS32" s="212"/>
      <c r="FT32" s="280"/>
      <c r="FU32" s="280"/>
      <c r="FV32" s="280"/>
      <c r="FW32" s="280"/>
      <c r="FX32" s="280"/>
    </row>
    <row r="33" spans="1:180" ht="21" customHeight="1" x14ac:dyDescent="0.3">
      <c r="C33" s="199"/>
      <c r="M33" s="344" t="str">
        <f>HLOOKUP($A$3,TourDeJeu2,29,FALSE)</f>
        <v>_</v>
      </c>
      <c r="N33" s="345"/>
      <c r="O33" s="345"/>
      <c r="P33" s="345"/>
      <c r="Q33" s="345"/>
      <c r="R33" s="345"/>
      <c r="S33" s="345"/>
      <c r="T33" s="345"/>
      <c r="U33" s="345"/>
      <c r="V33" s="345"/>
      <c r="W33" s="345"/>
      <c r="X33" s="345"/>
      <c r="Y33" s="346"/>
      <c r="AA33" s="199" t="s">
        <v>134</v>
      </c>
      <c r="AB33" s="213">
        <f t="shared" si="54"/>
        <v>5.7142857142857144</v>
      </c>
      <c r="AC33" s="242"/>
      <c r="AD33" s="208"/>
      <c r="AE33" s="208"/>
      <c r="AF33" s="213">
        <f t="shared" si="55"/>
        <v>0</v>
      </c>
      <c r="AG33" s="242"/>
      <c r="AH33" s="208"/>
      <c r="AI33" s="208"/>
      <c r="AJ33" s="213">
        <f t="shared" si="56"/>
        <v>4</v>
      </c>
      <c r="AK33" s="242"/>
      <c r="AL33" s="208"/>
      <c r="AM33" s="208"/>
      <c r="AN33" s="213">
        <f t="shared" si="57"/>
        <v>0</v>
      </c>
      <c r="AO33" s="242"/>
      <c r="AP33" s="208"/>
      <c r="AQ33" s="208"/>
      <c r="AR33" s="213">
        <f t="shared" si="58"/>
        <v>4</v>
      </c>
      <c r="AS33" s="242"/>
      <c r="AT33" s="208"/>
      <c r="AU33" s="208"/>
      <c r="AV33" s="213">
        <f t="shared" si="59"/>
        <v>0</v>
      </c>
      <c r="AW33" s="242"/>
      <c r="AX33" s="208"/>
      <c r="AY33" s="208"/>
      <c r="AZ33" s="213">
        <f t="shared" si="60"/>
        <v>0</v>
      </c>
      <c r="BA33" s="242"/>
      <c r="BB33" s="208"/>
      <c r="BC33" s="208"/>
      <c r="BD33" s="213">
        <f t="shared" si="61"/>
        <v>0</v>
      </c>
      <c r="BE33" s="242"/>
      <c r="BF33" s="208"/>
      <c r="BG33" s="208"/>
      <c r="BH33" s="213">
        <f t="shared" si="62"/>
        <v>0</v>
      </c>
      <c r="BI33" s="242"/>
      <c r="BJ33" s="208"/>
      <c r="BK33" s="208"/>
      <c r="BL33" s="213">
        <f t="shared" si="63"/>
        <v>0</v>
      </c>
      <c r="BM33" s="242"/>
      <c r="BN33" s="208"/>
      <c r="BO33" s="208"/>
      <c r="BP33" s="213">
        <f t="shared" si="64"/>
        <v>0</v>
      </c>
      <c r="BQ33" s="242"/>
      <c r="BR33" s="208"/>
      <c r="BS33" s="208"/>
      <c r="BT33" s="213">
        <f t="shared" si="65"/>
        <v>0</v>
      </c>
      <c r="BU33" s="242"/>
      <c r="BV33" s="208"/>
      <c r="BW33" s="208"/>
      <c r="BX33" s="213">
        <f t="shared" si="66"/>
        <v>0</v>
      </c>
      <c r="BY33" s="242"/>
      <c r="BZ33" s="208"/>
      <c r="CA33" s="208"/>
      <c r="CB33" s="213">
        <f t="shared" si="67"/>
        <v>0</v>
      </c>
      <c r="CC33" s="242"/>
      <c r="CD33" s="208"/>
      <c r="CE33" s="208"/>
      <c r="CF33" s="213">
        <f t="shared" si="68"/>
        <v>0</v>
      </c>
      <c r="CG33" s="242"/>
      <c r="CH33" s="208"/>
      <c r="CI33" s="208"/>
      <c r="CJ33" s="213">
        <f t="shared" si="69"/>
        <v>0</v>
      </c>
      <c r="CK33" s="242"/>
      <c r="CL33" s="208"/>
      <c r="CM33" s="208"/>
      <c r="CN33" s="243"/>
      <c r="CO33" s="243"/>
      <c r="CP33" s="199"/>
      <c r="CQ33" s="199"/>
      <c r="EM33" s="199">
        <v>32</v>
      </c>
      <c r="EO33" s="280">
        <f t="shared" si="53"/>
        <v>6</v>
      </c>
      <c r="EQ33" s="280" t="e">
        <f>BA2</f>
        <v>#N/A</v>
      </c>
      <c r="ER33" s="305">
        <f>BB100</f>
        <v>0</v>
      </c>
      <c r="ES33" s="305">
        <f>BB101</f>
        <v>0</v>
      </c>
      <c r="ET33" s="305">
        <f>BB102</f>
        <v>0</v>
      </c>
      <c r="EU33" s="305">
        <f>BB103</f>
        <v>0</v>
      </c>
      <c r="EV33" s="306">
        <f>BB104</f>
        <v>0</v>
      </c>
      <c r="EW33" s="306">
        <f>BB105</f>
        <v>0</v>
      </c>
      <c r="EX33" s="306">
        <f>BB106</f>
        <v>0</v>
      </c>
      <c r="EY33" s="350">
        <f t="shared" si="49"/>
        <v>0</v>
      </c>
      <c r="EZ33" s="350"/>
      <c r="FA33" s="278">
        <f t="shared" si="51"/>
        <v>0</v>
      </c>
      <c r="FB33" s="278"/>
      <c r="FE33" s="354" t="e">
        <f t="shared" si="50"/>
        <v>#DIV/0!</v>
      </c>
      <c r="FF33" s="354"/>
      <c r="FG33" s="349" t="e">
        <f t="shared" si="52"/>
        <v>#DIV/0!</v>
      </c>
      <c r="FH33" s="349"/>
      <c r="FL33" s="199"/>
      <c r="FM33" s="199"/>
      <c r="FN33" s="199"/>
      <c r="FO33" s="199"/>
      <c r="FP33" s="199"/>
      <c r="FQ33" s="280"/>
      <c r="FR33" s="280"/>
      <c r="FS33" s="212"/>
      <c r="FT33" s="280"/>
      <c r="FU33" s="280"/>
      <c r="FV33" s="280"/>
      <c r="FW33" s="280"/>
      <c r="FX33" s="280"/>
    </row>
    <row r="34" spans="1:180" ht="21" customHeight="1" x14ac:dyDescent="0.3">
      <c r="A34" s="293">
        <f>HLOOKUP($A$3,Scenario1,23,FALSE)</f>
        <v>2</v>
      </c>
      <c r="B34" s="338" t="str">
        <f>IF(Tirage!$H$3="Finale 5 Joueurs","Billard 1","")</f>
        <v>Billard 1</v>
      </c>
      <c r="C34" s="214" t="str">
        <f>VLOOKUP($A34,joueurs,2,FALSE)</f>
        <v>CASTANER GEORGES</v>
      </c>
      <c r="D34" s="339">
        <f>IF(Tirage!$G$17="","",HLOOKUP($A$3,TourDeJeu,33,FALSE))</f>
        <v>80</v>
      </c>
      <c r="E34" s="215">
        <v>80</v>
      </c>
      <c r="F34" s="215">
        <v>25</v>
      </c>
      <c r="G34" s="216">
        <v>11</v>
      </c>
      <c r="H34" s="217">
        <f>IF(F34="","",E34/F34)</f>
        <v>3.2</v>
      </c>
      <c r="I34" s="218"/>
      <c r="J34" s="219">
        <f>IF(ISBLANK(E34),"",E34/F34+(G34/100))</f>
        <v>3.31</v>
      </c>
      <c r="K34" s="220">
        <f>IF(E34="","",IF(E34&gt;E35,2,IF(E34=E35,1,0)))</f>
        <v>2</v>
      </c>
      <c r="L34" s="293"/>
      <c r="Y34" s="276" t="s">
        <v>109</v>
      </c>
      <c r="AA34" s="199" t="s">
        <v>135</v>
      </c>
      <c r="AB34" s="213">
        <f t="shared" si="54"/>
        <v>0</v>
      </c>
      <c r="AC34" s="242"/>
      <c r="AD34" s="208"/>
      <c r="AE34" s="208"/>
      <c r="AF34" s="213">
        <f t="shared" si="55"/>
        <v>3.2</v>
      </c>
      <c r="AG34" s="242"/>
      <c r="AH34" s="208"/>
      <c r="AI34" s="208"/>
      <c r="AJ34" s="213">
        <f t="shared" si="56"/>
        <v>3.6363636363636362</v>
      </c>
      <c r="AK34" s="242"/>
      <c r="AL34" s="208"/>
      <c r="AM34" s="208"/>
      <c r="AN34" s="213">
        <f t="shared" si="57"/>
        <v>0</v>
      </c>
      <c r="AO34" s="242"/>
      <c r="AP34" s="208"/>
      <c r="AQ34" s="208"/>
      <c r="AR34" s="213">
        <f t="shared" si="58"/>
        <v>0</v>
      </c>
      <c r="AS34" s="242"/>
      <c r="AT34" s="208"/>
      <c r="AU34" s="208"/>
      <c r="AV34" s="213">
        <f t="shared" si="59"/>
        <v>0</v>
      </c>
      <c r="AW34" s="242"/>
      <c r="AX34" s="208"/>
      <c r="AY34" s="208"/>
      <c r="AZ34" s="213">
        <f t="shared" si="60"/>
        <v>0</v>
      </c>
      <c r="BA34" s="242"/>
      <c r="BB34" s="208"/>
      <c r="BC34" s="208"/>
      <c r="BD34" s="213">
        <f t="shared" si="61"/>
        <v>0</v>
      </c>
      <c r="BE34" s="242"/>
      <c r="BF34" s="208"/>
      <c r="BG34" s="208"/>
      <c r="BH34" s="213">
        <f t="shared" si="62"/>
        <v>0</v>
      </c>
      <c r="BI34" s="242"/>
      <c r="BJ34" s="208"/>
      <c r="BK34" s="208"/>
      <c r="BL34" s="213">
        <f t="shared" si="63"/>
        <v>0</v>
      </c>
      <c r="BM34" s="242"/>
      <c r="BN34" s="208"/>
      <c r="BO34" s="208"/>
      <c r="BP34" s="213">
        <f t="shared" si="64"/>
        <v>0</v>
      </c>
      <c r="BQ34" s="242"/>
      <c r="BR34" s="208"/>
      <c r="BS34" s="208"/>
      <c r="BT34" s="213">
        <f t="shared" si="65"/>
        <v>0</v>
      </c>
      <c r="BU34" s="242"/>
      <c r="BV34" s="208"/>
      <c r="BW34" s="208"/>
      <c r="BX34" s="213">
        <f t="shared" si="66"/>
        <v>0</v>
      </c>
      <c r="BY34" s="242"/>
      <c r="BZ34" s="208"/>
      <c r="CA34" s="208"/>
      <c r="CB34" s="213">
        <f t="shared" si="67"/>
        <v>0</v>
      </c>
      <c r="CC34" s="242"/>
      <c r="CD34" s="208"/>
      <c r="CE34" s="208"/>
      <c r="CF34" s="213">
        <f t="shared" si="68"/>
        <v>0</v>
      </c>
      <c r="CG34" s="242"/>
      <c r="CH34" s="208"/>
      <c r="CI34" s="208"/>
      <c r="CJ34" s="213">
        <f t="shared" si="69"/>
        <v>0</v>
      </c>
      <c r="CK34" s="242"/>
      <c r="CL34" s="208"/>
      <c r="CM34" s="208"/>
      <c r="CN34" s="213"/>
      <c r="CO34" s="242"/>
      <c r="CP34" s="208"/>
      <c r="CQ34" s="210"/>
      <c r="CY34" s="280">
        <f>quotareduit</f>
        <v>0</v>
      </c>
      <c r="CZ34" s="280">
        <f>Quota</f>
        <v>80</v>
      </c>
      <c r="DA34" s="280">
        <f>quotareduit</f>
        <v>0</v>
      </c>
      <c r="DB34" s="280">
        <f>quotareduit</f>
        <v>0</v>
      </c>
      <c r="DC34" s="280" t="s">
        <v>118</v>
      </c>
      <c r="DE34" s="280">
        <f>Quota</f>
        <v>80</v>
      </c>
      <c r="DF34" s="280">
        <f>Quota</f>
        <v>80</v>
      </c>
      <c r="DG34" s="280">
        <f t="shared" ref="DG34:DI39" si="70">quotareduit</f>
        <v>0</v>
      </c>
      <c r="DH34" s="280">
        <f t="shared" si="70"/>
        <v>0</v>
      </c>
      <c r="DI34" s="280">
        <f t="shared" si="70"/>
        <v>0</v>
      </c>
      <c r="DJ34" s="280">
        <f t="shared" ref="DJ34:DJ39" si="71">Quota</f>
        <v>80</v>
      </c>
      <c r="DK34" s="280">
        <f>quotareduit</f>
        <v>0</v>
      </c>
      <c r="DL34" s="280">
        <f t="shared" ref="DL34:DL41" si="72">Quota</f>
        <v>80</v>
      </c>
      <c r="DN34" s="280">
        <f t="shared" ref="DN34:DN39" si="73">quotareduit</f>
        <v>0</v>
      </c>
      <c r="DP34" s="280" t="s">
        <v>118</v>
      </c>
      <c r="DQ34" s="280" t="s">
        <v>118</v>
      </c>
      <c r="DR34" s="280" t="s">
        <v>118</v>
      </c>
      <c r="DS34" s="280" t="s">
        <v>118</v>
      </c>
      <c r="DT34" s="280" t="s">
        <v>118</v>
      </c>
      <c r="DV34" s="280" t="s">
        <v>118</v>
      </c>
      <c r="DW34" s="280" t="s">
        <v>118</v>
      </c>
      <c r="DX34" s="280" t="s">
        <v>118</v>
      </c>
      <c r="DY34" s="280">
        <f>quotareduit</f>
        <v>0</v>
      </c>
      <c r="DZ34" s="280" t="s">
        <v>118</v>
      </c>
      <c r="EA34" s="280" t="s">
        <v>118</v>
      </c>
      <c r="EB34" s="280" t="s">
        <v>118</v>
      </c>
      <c r="EC34" s="280">
        <f>Quota</f>
        <v>80</v>
      </c>
      <c r="ED34" s="280" t="s">
        <v>118</v>
      </c>
      <c r="EE34" s="280" t="s">
        <v>118</v>
      </c>
      <c r="EM34" s="199">
        <v>33</v>
      </c>
      <c r="EO34" s="280">
        <f t="shared" si="53"/>
        <v>6</v>
      </c>
      <c r="EQ34" s="280" t="e">
        <f>BE2</f>
        <v>#N/A</v>
      </c>
      <c r="ER34" s="305">
        <f>BF100</f>
        <v>0</v>
      </c>
      <c r="ES34" s="305">
        <f>BF101</f>
        <v>0</v>
      </c>
      <c r="ET34" s="305">
        <f>BF102</f>
        <v>0</v>
      </c>
      <c r="EU34" s="305">
        <f>BF103</f>
        <v>0</v>
      </c>
      <c r="EV34" s="306">
        <f>BF104</f>
        <v>0</v>
      </c>
      <c r="EW34" s="306">
        <f>BF105</f>
        <v>0</v>
      </c>
      <c r="EX34" s="306">
        <f>BF106</f>
        <v>0</v>
      </c>
      <c r="EY34" s="350">
        <f t="shared" si="49"/>
        <v>0</v>
      </c>
      <c r="EZ34" s="350"/>
      <c r="FA34" s="278">
        <f t="shared" si="51"/>
        <v>0</v>
      </c>
      <c r="FB34" s="278"/>
      <c r="FE34" s="354" t="e">
        <f t="shared" si="50"/>
        <v>#DIV/0!</v>
      </c>
      <c r="FF34" s="354"/>
      <c r="FG34" s="349" t="e">
        <f t="shared" si="52"/>
        <v>#DIV/0!</v>
      </c>
      <c r="FH34" s="349"/>
      <c r="FL34" s="199"/>
      <c r="FM34" s="199"/>
      <c r="FN34" s="199"/>
      <c r="FO34" s="199"/>
      <c r="FP34" s="199"/>
      <c r="FQ34" s="280"/>
      <c r="FR34" s="280"/>
      <c r="FS34" s="212"/>
      <c r="FT34" s="280"/>
      <c r="FU34" s="280"/>
      <c r="FV34" s="280"/>
      <c r="FW34" s="280"/>
      <c r="FX34" s="280"/>
    </row>
    <row r="35" spans="1:180" ht="21" customHeight="1" x14ac:dyDescent="0.3">
      <c r="A35" s="293">
        <f>HLOOKUP($A$3,Scenario1,24,FALSE)</f>
        <v>4</v>
      </c>
      <c r="B35" s="338"/>
      <c r="C35" s="214" t="str">
        <f>VLOOKUP($A35,joueurs,2,FALSE)</f>
        <v>BLANCHARD THIERRY</v>
      </c>
      <c r="D35" s="340"/>
      <c r="E35" s="215">
        <v>41</v>
      </c>
      <c r="F35" s="223">
        <f>IF(F34="","",F34)</f>
        <v>25</v>
      </c>
      <c r="G35" s="216">
        <v>6</v>
      </c>
      <c r="H35" s="217">
        <f>IF(E35="","",E35/F35)</f>
        <v>1.64</v>
      </c>
      <c r="I35" s="224">
        <f>I34</f>
        <v>0</v>
      </c>
      <c r="J35" s="219">
        <f>IF(ISBLANK(E35),"",E35/F35+(G35/100))</f>
        <v>1.7</v>
      </c>
      <c r="K35" s="220">
        <f>IF(E35="","",IF(E35&gt;E34,2,IF(E35=E34,1,0)))</f>
        <v>0</v>
      </c>
      <c r="L35" s="293"/>
      <c r="M35" s="293" t="str">
        <f>HLOOKUP($A$3,scenario2,15,FALSE)</f>
        <v>@</v>
      </c>
      <c r="N35" s="293"/>
      <c r="O35" s="214" t="str">
        <f>VLOOKUP($M35,joueurs,2,FALSE)</f>
        <v xml:space="preserve"> </v>
      </c>
      <c r="P35" s="339">
        <f>IF(Tirage!$G$17="","",HLOOKUP($A$3,TourDeJeu,33,FALSE))</f>
        <v>80</v>
      </c>
      <c r="Q35" s="215"/>
      <c r="R35" s="215"/>
      <c r="S35" s="216"/>
      <c r="T35" s="221" t="str">
        <f>IF(R35="","",Q35/R35)</f>
        <v/>
      </c>
      <c r="U35" s="218"/>
      <c r="V35" s="219" t="str">
        <f>IF(ISBLANK(Q35),"",Q35/R35)</f>
        <v/>
      </c>
      <c r="W35" s="238"/>
      <c r="X35" s="220" t="str">
        <f>IF(Q35="","",IF(Q35&gt;Q36,2,IF(Q35=Q36,1,0)))</f>
        <v/>
      </c>
      <c r="Y35" s="220"/>
      <c r="AA35" s="199" t="s">
        <v>136</v>
      </c>
      <c r="AB35" s="213">
        <f t="shared" si="54"/>
        <v>0</v>
      </c>
      <c r="AC35" s="301"/>
      <c r="AD35" s="301"/>
      <c r="AE35" s="208"/>
      <c r="AF35" s="213">
        <f t="shared" si="55"/>
        <v>0</v>
      </c>
      <c r="AG35" s="301"/>
      <c r="AH35" s="301"/>
      <c r="AI35" s="208"/>
      <c r="AJ35" s="213">
        <f t="shared" si="56"/>
        <v>0</v>
      </c>
      <c r="AK35" s="301"/>
      <c r="AL35" s="301"/>
      <c r="AM35" s="208"/>
      <c r="AN35" s="213">
        <f t="shared" si="57"/>
        <v>0</v>
      </c>
      <c r="AO35" s="301"/>
      <c r="AP35" s="301"/>
      <c r="AQ35" s="208"/>
      <c r="AR35" s="213">
        <f t="shared" si="58"/>
        <v>0</v>
      </c>
      <c r="AS35" s="301"/>
      <c r="AT35" s="301"/>
      <c r="AU35" s="208"/>
      <c r="AV35" s="213">
        <f t="shared" si="59"/>
        <v>0</v>
      </c>
      <c r="AW35" s="301"/>
      <c r="AX35" s="301"/>
      <c r="AY35" s="208"/>
      <c r="AZ35" s="213">
        <f t="shared" si="60"/>
        <v>0</v>
      </c>
      <c r="BA35" s="301"/>
      <c r="BB35" s="301"/>
      <c r="BC35" s="208"/>
      <c r="BD35" s="213">
        <f t="shared" si="61"/>
        <v>0</v>
      </c>
      <c r="BE35" s="301"/>
      <c r="BF35" s="301"/>
      <c r="BG35" s="208"/>
      <c r="BH35" s="213">
        <f t="shared" si="62"/>
        <v>0</v>
      </c>
      <c r="BI35" s="301"/>
      <c r="BJ35" s="301"/>
      <c r="BK35" s="208"/>
      <c r="BL35" s="213">
        <f t="shared" si="63"/>
        <v>0</v>
      </c>
      <c r="BM35" s="301"/>
      <c r="BN35" s="301"/>
      <c r="BO35" s="208"/>
      <c r="BP35" s="213">
        <f t="shared" si="64"/>
        <v>0</v>
      </c>
      <c r="BQ35" s="301"/>
      <c r="BR35" s="301"/>
      <c r="BS35" s="208"/>
      <c r="BT35" s="213">
        <f t="shared" si="65"/>
        <v>0</v>
      </c>
      <c r="BU35" s="301"/>
      <c r="BV35" s="301"/>
      <c r="BW35" s="208"/>
      <c r="BX35" s="213">
        <f t="shared" si="66"/>
        <v>0</v>
      </c>
      <c r="BY35" s="301"/>
      <c r="BZ35" s="301"/>
      <c r="CA35" s="208"/>
      <c r="CB35" s="213">
        <f t="shared" si="67"/>
        <v>0</v>
      </c>
      <c r="CC35" s="301"/>
      <c r="CD35" s="301"/>
      <c r="CE35" s="208"/>
      <c r="CF35" s="213">
        <f t="shared" si="68"/>
        <v>0</v>
      </c>
      <c r="CG35" s="301"/>
      <c r="CH35" s="301"/>
      <c r="CI35" s="208"/>
      <c r="CJ35" s="213">
        <f t="shared" si="69"/>
        <v>0</v>
      </c>
      <c r="CK35" s="301"/>
      <c r="CL35" s="301"/>
      <c r="CM35" s="208"/>
      <c r="CN35" s="209"/>
      <c r="CO35" s="208"/>
      <c r="CP35" s="208"/>
      <c r="CQ35" s="210"/>
      <c r="CY35" s="280" t="s">
        <v>118</v>
      </c>
      <c r="CZ35" s="280" t="s">
        <v>118</v>
      </c>
      <c r="DA35" s="280" t="s">
        <v>118</v>
      </c>
      <c r="DB35" s="280">
        <f>quotareduit</f>
        <v>0</v>
      </c>
      <c r="DC35" s="280" t="s">
        <v>118</v>
      </c>
      <c r="DE35" s="280" t="s">
        <v>118</v>
      </c>
      <c r="DF35" s="280" t="s">
        <v>118</v>
      </c>
      <c r="DG35" s="280">
        <f t="shared" si="70"/>
        <v>0</v>
      </c>
      <c r="DH35" s="280">
        <f t="shared" si="70"/>
        <v>0</v>
      </c>
      <c r="DI35" s="280">
        <f t="shared" si="70"/>
        <v>0</v>
      </c>
      <c r="DJ35" s="280">
        <f t="shared" si="71"/>
        <v>80</v>
      </c>
      <c r="DK35" s="280">
        <f>quotareduit</f>
        <v>0</v>
      </c>
      <c r="DL35" s="280">
        <f t="shared" si="72"/>
        <v>80</v>
      </c>
      <c r="DN35" s="280">
        <f t="shared" si="73"/>
        <v>0</v>
      </c>
      <c r="DP35" s="280" t="s">
        <v>118</v>
      </c>
      <c r="DQ35" s="280" t="s">
        <v>118</v>
      </c>
      <c r="DR35" s="280" t="s">
        <v>118</v>
      </c>
      <c r="DS35" s="280" t="s">
        <v>118</v>
      </c>
      <c r="DT35" s="280" t="s">
        <v>118</v>
      </c>
      <c r="DV35" s="280" t="s">
        <v>118</v>
      </c>
      <c r="DW35" s="280" t="s">
        <v>118</v>
      </c>
      <c r="DX35" s="280" t="s">
        <v>118</v>
      </c>
      <c r="DY35" s="280">
        <f>quotareduit</f>
        <v>0</v>
      </c>
      <c r="DZ35" s="280" t="s">
        <v>118</v>
      </c>
      <c r="EA35" s="280" t="s">
        <v>118</v>
      </c>
      <c r="EB35" s="280" t="s">
        <v>118</v>
      </c>
      <c r="EC35" s="280">
        <f>Quota</f>
        <v>80</v>
      </c>
      <c r="ED35" s="280" t="s">
        <v>118</v>
      </c>
      <c r="EE35" s="280" t="s">
        <v>118</v>
      </c>
      <c r="EM35" s="199">
        <v>34</v>
      </c>
      <c r="EO35" s="280" t="s">
        <v>53</v>
      </c>
      <c r="ER35" s="280" t="s">
        <v>137</v>
      </c>
      <c r="FF35" s="279" t="s">
        <v>138</v>
      </c>
      <c r="FG35" s="279" t="s">
        <v>139</v>
      </c>
      <c r="FH35" s="279" t="s">
        <v>140</v>
      </c>
      <c r="FI35" s="279" t="s">
        <v>141</v>
      </c>
      <c r="FJ35" s="279" t="s">
        <v>142</v>
      </c>
      <c r="FL35" s="199"/>
      <c r="FM35" s="199"/>
      <c r="FN35" s="199"/>
      <c r="FO35" s="199"/>
      <c r="FP35" s="199"/>
      <c r="FQ35" s="280"/>
      <c r="FR35" s="280"/>
      <c r="FS35" s="212"/>
      <c r="FT35" s="280"/>
      <c r="FU35" s="280"/>
      <c r="FV35" s="280"/>
      <c r="FW35" s="280"/>
      <c r="FX35" s="280"/>
    </row>
    <row r="36" spans="1:180" ht="21" customHeight="1" x14ac:dyDescent="0.3">
      <c r="M36" s="293" t="str">
        <f>HLOOKUP($A$3,scenario2,16,FALSE)</f>
        <v>@</v>
      </c>
      <c r="N36" s="293"/>
      <c r="O36" s="214" t="str">
        <f>VLOOKUP($M36,joueurs,2,FALSE)</f>
        <v xml:space="preserve"> </v>
      </c>
      <c r="P36" s="340"/>
      <c r="Q36" s="215"/>
      <c r="R36" s="223" t="str">
        <f>IF(R35="","",R35)</f>
        <v/>
      </c>
      <c r="S36" s="216"/>
      <c r="T36" s="221" t="str">
        <f>IF(Q36="","",Q36/R36)</f>
        <v/>
      </c>
      <c r="U36" s="224">
        <f>U35</f>
        <v>0</v>
      </c>
      <c r="V36" s="219" t="str">
        <f>IF(ISBLANK(Q36),"",Q36/R36)</f>
        <v/>
      </c>
      <c r="W36" s="238"/>
      <c r="X36" s="220" t="str">
        <f>IF(Q36="","",IF(Q36&gt;Q35,2,IF(Q36=Q35,1,0)))</f>
        <v/>
      </c>
      <c r="Y36" s="220"/>
      <c r="AA36" s="199" t="s">
        <v>143</v>
      </c>
      <c r="AB36" s="213">
        <f t="shared" si="54"/>
        <v>0</v>
      </c>
      <c r="AC36" s="301"/>
      <c r="AD36" s="301"/>
      <c r="AE36" s="208"/>
      <c r="AF36" s="213">
        <f t="shared" si="55"/>
        <v>0</v>
      </c>
      <c r="AG36" s="301"/>
      <c r="AH36" s="301"/>
      <c r="AI36" s="208"/>
      <c r="AJ36" s="213">
        <f t="shared" si="56"/>
        <v>0</v>
      </c>
      <c r="AK36" s="301"/>
      <c r="AL36" s="301"/>
      <c r="AM36" s="208"/>
      <c r="AN36" s="213">
        <f t="shared" si="57"/>
        <v>0</v>
      </c>
      <c r="AO36" s="301"/>
      <c r="AP36" s="301"/>
      <c r="AQ36" s="208"/>
      <c r="AR36" s="213">
        <f t="shared" si="58"/>
        <v>0</v>
      </c>
      <c r="AS36" s="301"/>
      <c r="AT36" s="301"/>
      <c r="AU36" s="208"/>
      <c r="AV36" s="213">
        <f t="shared" si="59"/>
        <v>0</v>
      </c>
      <c r="AW36" s="301"/>
      <c r="AX36" s="301"/>
      <c r="AY36" s="208"/>
      <c r="AZ36" s="213">
        <f t="shared" si="60"/>
        <v>0</v>
      </c>
      <c r="BA36" s="301"/>
      <c r="BB36" s="301"/>
      <c r="BC36" s="208"/>
      <c r="BD36" s="213">
        <f t="shared" si="61"/>
        <v>0</v>
      </c>
      <c r="BE36" s="301"/>
      <c r="BF36" s="301"/>
      <c r="BG36" s="208"/>
      <c r="BH36" s="213">
        <f t="shared" si="62"/>
        <v>0</v>
      </c>
      <c r="BI36" s="301"/>
      <c r="BJ36" s="301"/>
      <c r="BK36" s="208"/>
      <c r="BL36" s="213">
        <f t="shared" si="63"/>
        <v>0</v>
      </c>
      <c r="BM36" s="301"/>
      <c r="BN36" s="301"/>
      <c r="BO36" s="208"/>
      <c r="BP36" s="213">
        <f t="shared" si="64"/>
        <v>0</v>
      </c>
      <c r="BQ36" s="301"/>
      <c r="BR36" s="301"/>
      <c r="BS36" s="208"/>
      <c r="BT36" s="213">
        <f t="shared" si="65"/>
        <v>0</v>
      </c>
      <c r="BU36" s="301"/>
      <c r="BV36" s="301"/>
      <c r="BW36" s="208"/>
      <c r="BX36" s="213">
        <f t="shared" si="66"/>
        <v>0</v>
      </c>
      <c r="BY36" s="301"/>
      <c r="BZ36" s="301"/>
      <c r="CA36" s="208"/>
      <c r="CB36" s="213">
        <f t="shared" si="67"/>
        <v>0</v>
      </c>
      <c r="CC36" s="301"/>
      <c r="CD36" s="301"/>
      <c r="CE36" s="208"/>
      <c r="CF36" s="213">
        <f t="shared" si="68"/>
        <v>0</v>
      </c>
      <c r="CG36" s="301"/>
      <c r="CH36" s="301"/>
      <c r="CI36" s="208"/>
      <c r="CJ36" s="213">
        <f t="shared" si="69"/>
        <v>0</v>
      </c>
      <c r="CK36" s="301"/>
      <c r="CL36" s="301"/>
      <c r="CM36" s="208"/>
      <c r="CN36" s="209"/>
      <c r="CO36" s="208"/>
      <c r="CP36" s="208"/>
      <c r="CQ36" s="210"/>
      <c r="CY36" s="280">
        <f>quotareduit</f>
        <v>0</v>
      </c>
      <c r="CZ36" s="280">
        <f>Quota</f>
        <v>80</v>
      </c>
      <c r="DA36" s="280">
        <f>quotareduit</f>
        <v>0</v>
      </c>
      <c r="DB36" s="280">
        <f>quotareduit</f>
        <v>0</v>
      </c>
      <c r="DC36" s="280" t="s">
        <v>118</v>
      </c>
      <c r="DE36" s="280">
        <f>Quota</f>
        <v>80</v>
      </c>
      <c r="DF36" s="280">
        <f>Quota</f>
        <v>80</v>
      </c>
      <c r="DG36" s="280">
        <f t="shared" si="70"/>
        <v>0</v>
      </c>
      <c r="DH36" s="280">
        <f t="shared" si="70"/>
        <v>0</v>
      </c>
      <c r="DI36" s="280">
        <f t="shared" si="70"/>
        <v>0</v>
      </c>
      <c r="DJ36" s="280">
        <f t="shared" si="71"/>
        <v>80</v>
      </c>
      <c r="DK36" s="280">
        <f>quotareduit</f>
        <v>0</v>
      </c>
      <c r="DL36" s="280">
        <f t="shared" si="72"/>
        <v>80</v>
      </c>
      <c r="DN36" s="280">
        <f t="shared" si="73"/>
        <v>0</v>
      </c>
      <c r="DP36" s="280" t="s">
        <v>118</v>
      </c>
      <c r="DQ36" s="280" t="s">
        <v>118</v>
      </c>
      <c r="DR36" s="280" t="s">
        <v>118</v>
      </c>
      <c r="DS36" s="280" t="s">
        <v>118</v>
      </c>
      <c r="DT36" s="280" t="s">
        <v>118</v>
      </c>
      <c r="DV36" s="280" t="s">
        <v>118</v>
      </c>
      <c r="DW36" s="280" t="s">
        <v>118</v>
      </c>
      <c r="DX36" s="280" t="s">
        <v>118</v>
      </c>
      <c r="DY36" s="280">
        <f>quotareduit</f>
        <v>0</v>
      </c>
      <c r="DZ36" s="280" t="s">
        <v>118</v>
      </c>
      <c r="EA36" s="280" t="s">
        <v>118</v>
      </c>
      <c r="EB36" s="280" t="s">
        <v>118</v>
      </c>
      <c r="EC36" s="280" t="s">
        <v>118</v>
      </c>
      <c r="ED36" s="280" t="s">
        <v>118</v>
      </c>
      <c r="EE36" s="280">
        <f>quotareduit</f>
        <v>0</v>
      </c>
      <c r="EM36" s="199">
        <v>35</v>
      </c>
      <c r="EN36" s="280" t="str">
        <f>IF(EO36=1,"vip1",IF(EO36=2,"vip3","vip5"))</f>
        <v>vip1</v>
      </c>
      <c r="EO36" s="280">
        <f>RANK(EY36,$EY$36:$EY$38)</f>
        <v>1</v>
      </c>
      <c r="EP36" s="280" t="e">
        <f>HLOOKUP($A$3,Tb_Moyenneintermediaire,2,FALSE)</f>
        <v>#N/A</v>
      </c>
      <c r="EQ36" s="280">
        <f t="shared" ref="EQ36:EV41" si="74">IF(ISERROR(FE36),0,FE36)</f>
        <v>0</v>
      </c>
      <c r="ER36" s="306">
        <f t="shared" si="74"/>
        <v>0</v>
      </c>
      <c r="ES36" s="306">
        <f t="shared" si="74"/>
        <v>0</v>
      </c>
      <c r="ET36" s="308">
        <f t="shared" si="74"/>
        <v>0</v>
      </c>
      <c r="EU36" s="308">
        <f t="shared" si="74"/>
        <v>0</v>
      </c>
      <c r="EV36" s="309">
        <f t="shared" si="74"/>
        <v>0</v>
      </c>
      <c r="EW36" s="309"/>
      <c r="EX36" s="309"/>
      <c r="EY36" s="306">
        <f t="shared" ref="EY36:EY41" si="75">IF(ISERROR(FK36),0,FK36)</f>
        <v>0</v>
      </c>
      <c r="FE36" s="280" t="e">
        <f t="shared" ref="FE36:FE43" si="76">VLOOKUP($EP36,$EP$44:$FB$49,2,FALSE)</f>
        <v>#N/A</v>
      </c>
      <c r="FF36" s="280" t="e">
        <f>VLOOKUP($EP36,$EP$44:$FB$49,3,FALSE)</f>
        <v>#N/A</v>
      </c>
      <c r="FG36" s="280" t="e">
        <f>VLOOKUP($EP36,$EP$44:$FB$49,4,FALSE)</f>
        <v>#N/A</v>
      </c>
      <c r="FH36" s="280" t="e">
        <f>VLOOKUP($EP36,$EP$44:$FB$49,5,FALSE)</f>
        <v>#N/A</v>
      </c>
      <c r="FI36" s="280" t="e">
        <f>VLOOKUP($EP36,$EP$44:$FB$49,6,FALSE)</f>
        <v>#N/A</v>
      </c>
      <c r="FJ36" s="280" t="e">
        <f>VLOOKUP($EP36,$EP$44:$FB$49,7,FALSE)</f>
        <v>#N/A</v>
      </c>
      <c r="FK36" s="280" t="e">
        <f>FH36+(FL36/1000)+(FJ36/1000000)+(FI36/100000000)</f>
        <v>#N/A</v>
      </c>
      <c r="FL36" s="280" t="e">
        <f>FF36/FG36</f>
        <v>#N/A</v>
      </c>
      <c r="FN36" s="199"/>
      <c r="FO36" s="199"/>
      <c r="FP36" s="199"/>
      <c r="FQ36" s="280"/>
      <c r="FR36" s="280"/>
      <c r="FS36" s="212"/>
      <c r="FT36" s="280"/>
      <c r="FU36" s="280"/>
      <c r="FV36" s="280"/>
      <c r="FW36" s="280"/>
      <c r="FX36" s="280"/>
    </row>
    <row r="37" spans="1:180" ht="21" customHeight="1" x14ac:dyDescent="0.3">
      <c r="Y37" s="293"/>
      <c r="AA37" s="199"/>
      <c r="AB37" s="209"/>
      <c r="AC37" s="244" t="s">
        <v>144</v>
      </c>
      <c r="AD37" s="237">
        <f>MAX(AB31:AB36)</f>
        <v>5.7142857142857144</v>
      </c>
      <c r="AE37" s="208"/>
      <c r="AF37" s="209"/>
      <c r="AG37" s="244" t="s">
        <v>144</v>
      </c>
      <c r="AH37" s="237">
        <f>MAX(AF31:AF36)</f>
        <v>3.3333333333333335</v>
      </c>
      <c r="AI37" s="208"/>
      <c r="AJ37" s="209"/>
      <c r="AK37" s="244" t="s">
        <v>144</v>
      </c>
      <c r="AL37" s="237">
        <f>MAX(AJ31:AJ36)</f>
        <v>4</v>
      </c>
      <c r="AM37" s="208"/>
      <c r="AN37" s="209"/>
      <c r="AO37" s="244" t="s">
        <v>144</v>
      </c>
      <c r="AP37" s="237">
        <f>MAX(AN31:AN36)</f>
        <v>0</v>
      </c>
      <c r="AQ37" s="208"/>
      <c r="AR37" s="209"/>
      <c r="AS37" s="244" t="s">
        <v>144</v>
      </c>
      <c r="AT37" s="237">
        <f>MAX(AR31:AR36)</f>
        <v>8.8888888888888893</v>
      </c>
      <c r="AU37" s="208"/>
      <c r="AV37" s="209"/>
      <c r="AW37" s="244" t="s">
        <v>144</v>
      </c>
      <c r="AX37" s="237">
        <f>MAX(AV31:AV36)</f>
        <v>0</v>
      </c>
      <c r="AY37" s="208"/>
      <c r="AZ37" s="209"/>
      <c r="BA37" s="244" t="s">
        <v>144</v>
      </c>
      <c r="BB37" s="237">
        <f>MAX(AZ31:AZ36)</f>
        <v>0</v>
      </c>
      <c r="BC37" s="208"/>
      <c r="BD37" s="209"/>
      <c r="BE37" s="244" t="s">
        <v>144</v>
      </c>
      <c r="BF37" s="237">
        <f>MAX(BD31:BD36)</f>
        <v>0</v>
      </c>
      <c r="BG37" s="208"/>
      <c r="BH37" s="209"/>
      <c r="BI37" s="244" t="s">
        <v>144</v>
      </c>
      <c r="BJ37" s="237">
        <f>MAX(BH31:BH36)</f>
        <v>0</v>
      </c>
      <c r="BK37" s="208"/>
      <c r="BL37" s="209"/>
      <c r="BM37" s="244" t="s">
        <v>144</v>
      </c>
      <c r="BN37" s="237">
        <f>MAX(BL31:BL36)</f>
        <v>0</v>
      </c>
      <c r="BO37" s="208"/>
      <c r="BP37" s="209"/>
      <c r="BQ37" s="244" t="s">
        <v>144</v>
      </c>
      <c r="BR37" s="237">
        <f>MAX(BP31:BP36)</f>
        <v>0</v>
      </c>
      <c r="BS37" s="208"/>
      <c r="BT37" s="209"/>
      <c r="BU37" s="244" t="s">
        <v>144</v>
      </c>
      <c r="BV37" s="237">
        <f>MAX(BT31:BT36)</f>
        <v>0</v>
      </c>
      <c r="BW37" s="208"/>
      <c r="BX37" s="209"/>
      <c r="BY37" s="244" t="s">
        <v>144</v>
      </c>
      <c r="BZ37" s="237">
        <f>MAX(BX31:BX36)</f>
        <v>0</v>
      </c>
      <c r="CA37" s="208"/>
      <c r="CB37" s="209"/>
      <c r="CC37" s="244" t="s">
        <v>144</v>
      </c>
      <c r="CD37" s="237">
        <f>MAX(CB31:CB36)</f>
        <v>0</v>
      </c>
      <c r="CE37" s="208"/>
      <c r="CF37" s="209"/>
      <c r="CG37" s="244" t="s">
        <v>144</v>
      </c>
      <c r="CH37" s="237">
        <f>MAX(CF31:CF36)</f>
        <v>0</v>
      </c>
      <c r="CI37" s="208"/>
      <c r="CJ37" s="209"/>
      <c r="CK37" s="244" t="s">
        <v>144</v>
      </c>
      <c r="CL37" s="237">
        <f>MAX(CJ31:CJ36)</f>
        <v>0</v>
      </c>
      <c r="CM37" s="208"/>
      <c r="CN37" s="209"/>
      <c r="CO37" s="208"/>
      <c r="CP37" s="208"/>
      <c r="CQ37" s="210"/>
      <c r="CY37" s="280" t="s">
        <v>118</v>
      </c>
      <c r="CZ37" s="280" t="s">
        <v>118</v>
      </c>
      <c r="DA37" s="280" t="s">
        <v>118</v>
      </c>
      <c r="DB37" s="280">
        <f>quotareduit</f>
        <v>0</v>
      </c>
      <c r="DC37" s="280" t="s">
        <v>118</v>
      </c>
      <c r="DE37" s="280" t="s">
        <v>118</v>
      </c>
      <c r="DF37" s="280" t="s">
        <v>118</v>
      </c>
      <c r="DG37" s="280">
        <f t="shared" si="70"/>
        <v>0</v>
      </c>
      <c r="DH37" s="280">
        <f t="shared" si="70"/>
        <v>0</v>
      </c>
      <c r="DI37" s="280">
        <f t="shared" si="70"/>
        <v>0</v>
      </c>
      <c r="DJ37" s="280">
        <f t="shared" si="71"/>
        <v>80</v>
      </c>
      <c r="DK37" s="280">
        <f>quotareduit</f>
        <v>0</v>
      </c>
      <c r="DL37" s="280">
        <f t="shared" si="72"/>
        <v>80</v>
      </c>
      <c r="DN37" s="280">
        <f t="shared" si="73"/>
        <v>0</v>
      </c>
      <c r="DP37" s="280" t="s">
        <v>118</v>
      </c>
      <c r="DQ37" s="280" t="s">
        <v>118</v>
      </c>
      <c r="DR37" s="280" t="s">
        <v>118</v>
      </c>
      <c r="DS37" s="280" t="s">
        <v>118</v>
      </c>
      <c r="DT37" s="280" t="s">
        <v>118</v>
      </c>
      <c r="DV37" s="280" t="s">
        <v>118</v>
      </c>
      <c r="DW37" s="280" t="s">
        <v>118</v>
      </c>
      <c r="DX37" s="280" t="s">
        <v>118</v>
      </c>
      <c r="DY37" s="280">
        <f>quotareduit</f>
        <v>0</v>
      </c>
      <c r="DZ37" s="280" t="s">
        <v>118</v>
      </c>
      <c r="EA37" s="280" t="s">
        <v>118</v>
      </c>
      <c r="EB37" s="280" t="s">
        <v>118</v>
      </c>
      <c r="EC37" s="280" t="s">
        <v>118</v>
      </c>
      <c r="ED37" s="280" t="s">
        <v>118</v>
      </c>
      <c r="EE37" s="280">
        <f>quotareduit</f>
        <v>0</v>
      </c>
      <c r="EM37" s="199">
        <v>36</v>
      </c>
      <c r="EN37" s="280" t="str">
        <f>IF(EO37=1,"vip1",IF(EO37=2,"vip3","vip5"))</f>
        <v>vip1</v>
      </c>
      <c r="EO37" s="280">
        <f>RANK(EY37,$EY$36:$EY$38)</f>
        <v>1</v>
      </c>
      <c r="EP37" s="280" t="e">
        <f>HLOOKUP($A$3,Tb_Moyenneintermediaire,3,FALSE)</f>
        <v>#N/A</v>
      </c>
      <c r="EQ37" s="280">
        <f t="shared" si="74"/>
        <v>0</v>
      </c>
      <c r="ER37" s="306">
        <f t="shared" si="74"/>
        <v>0</v>
      </c>
      <c r="ES37" s="306">
        <f t="shared" si="74"/>
        <v>0</v>
      </c>
      <c r="ET37" s="308">
        <f t="shared" si="74"/>
        <v>0</v>
      </c>
      <c r="EU37" s="308">
        <f t="shared" si="74"/>
        <v>0</v>
      </c>
      <c r="EV37" s="309">
        <f t="shared" si="74"/>
        <v>0</v>
      </c>
      <c r="EW37" s="309"/>
      <c r="EX37" s="309"/>
      <c r="EY37" s="306">
        <f t="shared" si="75"/>
        <v>0</v>
      </c>
      <c r="FE37" s="280" t="e">
        <f t="shared" si="76"/>
        <v>#N/A</v>
      </c>
      <c r="FF37" s="280" t="e">
        <f t="shared" ref="FF37:FF43" si="77">VLOOKUP($EP37,$EP$44:$FB$49,3,FALSE)</f>
        <v>#N/A</v>
      </c>
      <c r="FG37" s="280" t="e">
        <f t="shared" ref="FG37:FG43" si="78">VLOOKUP($EP37,$EP$44:$FB$49,4,FALSE)</f>
        <v>#N/A</v>
      </c>
      <c r="FH37" s="280" t="e">
        <f t="shared" ref="FH37:FH43" si="79">VLOOKUP($EP37,$EP$44:$FB$49,5,FALSE)</f>
        <v>#N/A</v>
      </c>
      <c r="FI37" s="280" t="e">
        <f>VLOOKUP($EP37,$EP$44:$FB$49,6,FALSE)</f>
        <v>#N/A</v>
      </c>
      <c r="FJ37" s="280" t="e">
        <f t="shared" ref="FJ37:FJ43" si="80">VLOOKUP($EP37,$EP$44:$FB$49,7,FALSE)</f>
        <v>#N/A</v>
      </c>
      <c r="FK37" s="280" t="e">
        <f t="shared" ref="FK37:FK43" si="81">FH37+(FL37/1000)+(FJ37/1000000)+(FI37/100000000)</f>
        <v>#N/A</v>
      </c>
      <c r="FL37" s="280" t="e">
        <f t="shared" ref="FL37:FL43" si="82">FF37/FG37</f>
        <v>#N/A</v>
      </c>
      <c r="FQ37" s="280"/>
      <c r="FR37" s="280"/>
      <c r="FS37" s="212"/>
      <c r="FT37" s="280"/>
      <c r="FU37" s="280"/>
      <c r="FV37" s="280"/>
      <c r="FW37" s="280"/>
      <c r="FX37" s="280"/>
    </row>
    <row r="38" spans="1:180" ht="21" customHeight="1" x14ac:dyDescent="0.3">
      <c r="AA38" s="199"/>
      <c r="AB38" s="209"/>
      <c r="AC38" s="242"/>
      <c r="AD38" s="234"/>
      <c r="AE38" s="208"/>
      <c r="AF38" s="207"/>
      <c r="AG38" s="242"/>
      <c r="AH38" s="234"/>
      <c r="AI38" s="208"/>
      <c r="AJ38" s="207"/>
      <c r="AK38" s="242"/>
      <c r="AL38" s="234"/>
      <c r="AM38" s="208"/>
      <c r="AN38" s="207"/>
      <c r="AO38" s="242"/>
      <c r="AP38" s="234"/>
      <c r="AQ38" s="208"/>
      <c r="AR38" s="209"/>
      <c r="AS38" s="242"/>
      <c r="AT38" s="234"/>
      <c r="AU38" s="208"/>
      <c r="AV38" s="209"/>
      <c r="AW38" s="242"/>
      <c r="AX38" s="234"/>
      <c r="AY38" s="208"/>
      <c r="AZ38" s="209"/>
      <c r="BA38" s="242"/>
      <c r="BB38" s="234"/>
      <c r="BC38" s="208"/>
      <c r="BD38" s="209"/>
      <c r="BE38" s="242"/>
      <c r="BF38" s="234"/>
      <c r="BG38" s="208"/>
      <c r="BH38" s="209"/>
      <c r="BI38" s="242"/>
      <c r="BJ38" s="234"/>
      <c r="BK38" s="208"/>
      <c r="BL38" s="209"/>
      <c r="BM38" s="242"/>
      <c r="BN38" s="234"/>
      <c r="BO38" s="208"/>
      <c r="BP38" s="209"/>
      <c r="BQ38" s="242"/>
      <c r="BR38" s="234"/>
      <c r="BS38" s="208"/>
      <c r="BT38" s="209"/>
      <c r="BU38" s="242"/>
      <c r="BV38" s="234"/>
      <c r="BW38" s="208"/>
      <c r="BX38" s="209"/>
      <c r="BY38" s="242"/>
      <c r="BZ38" s="234"/>
      <c r="CA38" s="208"/>
      <c r="CB38" s="209"/>
      <c r="CC38" s="242"/>
      <c r="CD38" s="234"/>
      <c r="CE38" s="208"/>
      <c r="CF38" s="209"/>
      <c r="CG38" s="242"/>
      <c r="CH38" s="234"/>
      <c r="CI38" s="208"/>
      <c r="CJ38" s="209"/>
      <c r="CK38" s="242"/>
      <c r="CL38" s="234"/>
      <c r="CM38" s="208"/>
      <c r="CN38" s="209"/>
      <c r="CO38" s="208"/>
      <c r="CP38" s="208"/>
      <c r="CQ38" s="210"/>
      <c r="CY38" s="280" t="s">
        <v>118</v>
      </c>
      <c r="CZ38" s="280">
        <f>Quota</f>
        <v>80</v>
      </c>
      <c r="DA38" s="280">
        <f>quotareduit</f>
        <v>0</v>
      </c>
      <c r="DB38" s="280">
        <f>quotareduit</f>
        <v>0</v>
      </c>
      <c r="DC38" s="280" t="s">
        <v>118</v>
      </c>
      <c r="DE38" s="280">
        <f>Quota</f>
        <v>80</v>
      </c>
      <c r="DF38" s="280">
        <f>Quota</f>
        <v>80</v>
      </c>
      <c r="DG38" s="280">
        <f t="shared" si="70"/>
        <v>0</v>
      </c>
      <c r="DH38" s="280" t="s">
        <v>118</v>
      </c>
      <c r="DI38" s="280">
        <f t="shared" si="70"/>
        <v>0</v>
      </c>
      <c r="DJ38" s="280">
        <f t="shared" si="71"/>
        <v>80</v>
      </c>
      <c r="DK38" s="280">
        <f>quotareduit</f>
        <v>0</v>
      </c>
      <c r="DL38" s="280">
        <f t="shared" si="72"/>
        <v>80</v>
      </c>
      <c r="DN38" s="280">
        <f t="shared" si="73"/>
        <v>0</v>
      </c>
      <c r="DP38" s="280" t="s">
        <v>118</v>
      </c>
      <c r="DQ38" s="280" t="s">
        <v>118</v>
      </c>
      <c r="DR38" s="280" t="s">
        <v>118</v>
      </c>
      <c r="DS38" s="280" t="s">
        <v>118</v>
      </c>
      <c r="DT38" s="280" t="s">
        <v>118</v>
      </c>
      <c r="DV38" s="280" t="s">
        <v>118</v>
      </c>
      <c r="DW38" s="280" t="s">
        <v>118</v>
      </c>
      <c r="DX38" s="280" t="s">
        <v>118</v>
      </c>
      <c r="DY38" s="280" t="s">
        <v>118</v>
      </c>
      <c r="DZ38" s="280" t="s">
        <v>118</v>
      </c>
      <c r="EA38" s="280" t="s">
        <v>118</v>
      </c>
      <c r="EB38" s="280" t="s">
        <v>118</v>
      </c>
      <c r="EC38" s="280" t="s">
        <v>118</v>
      </c>
      <c r="ED38" s="280" t="s">
        <v>118</v>
      </c>
      <c r="EE38" s="280">
        <f>Quota</f>
        <v>80</v>
      </c>
      <c r="EM38" s="199">
        <v>37</v>
      </c>
      <c r="EN38" s="280" t="str">
        <f>IF(EO38=1,"vip1",IF(EO38=2,"vip3","vip5"))</f>
        <v>vip1</v>
      </c>
      <c r="EO38" s="280">
        <f>RANK(EY38,$EY$36:$EY$38)</f>
        <v>1</v>
      </c>
      <c r="EP38" s="280" t="e">
        <f>HLOOKUP($A$3,Tb_Moyenneintermediaire,4,FALSE)</f>
        <v>#N/A</v>
      </c>
      <c r="EQ38" s="280">
        <f t="shared" si="74"/>
        <v>0</v>
      </c>
      <c r="ER38" s="306">
        <f t="shared" si="74"/>
        <v>0</v>
      </c>
      <c r="ES38" s="306">
        <f t="shared" si="74"/>
        <v>0</v>
      </c>
      <c r="ET38" s="308">
        <f t="shared" si="74"/>
        <v>0</v>
      </c>
      <c r="EU38" s="308">
        <f t="shared" si="74"/>
        <v>0</v>
      </c>
      <c r="EV38" s="309">
        <f>IF(ISERROR(FJ38),0,FJ38)</f>
        <v>0</v>
      </c>
      <c r="EW38" s="309"/>
      <c r="EX38" s="309"/>
      <c r="EY38" s="306">
        <f t="shared" si="75"/>
        <v>0</v>
      </c>
      <c r="FE38" s="280" t="e">
        <f t="shared" si="76"/>
        <v>#N/A</v>
      </c>
      <c r="FF38" s="280" t="e">
        <f t="shared" si="77"/>
        <v>#N/A</v>
      </c>
      <c r="FG38" s="280" t="e">
        <f t="shared" si="78"/>
        <v>#N/A</v>
      </c>
      <c r="FH38" s="280" t="e">
        <f t="shared" si="79"/>
        <v>#N/A</v>
      </c>
      <c r="FI38" s="280" t="e">
        <f t="shared" ref="FI38:FI43" si="83">VLOOKUP($EP38,$EP$44:$FB$49,6,FALSE)</f>
        <v>#N/A</v>
      </c>
      <c r="FJ38" s="280" t="e">
        <f t="shared" si="80"/>
        <v>#N/A</v>
      </c>
      <c r="FK38" s="280" t="e">
        <f t="shared" si="81"/>
        <v>#N/A</v>
      </c>
      <c r="FL38" s="280" t="e">
        <f t="shared" si="82"/>
        <v>#N/A</v>
      </c>
      <c r="FQ38" s="280"/>
      <c r="FR38" s="280"/>
      <c r="FS38" s="212"/>
      <c r="FT38" s="280"/>
      <c r="FU38" s="280"/>
      <c r="FV38" s="280"/>
      <c r="FW38" s="280"/>
      <c r="FX38" s="280"/>
    </row>
    <row r="39" spans="1:180" ht="15.75" customHeight="1" x14ac:dyDescent="0.3">
      <c r="AA39" s="199" t="s">
        <v>145</v>
      </c>
      <c r="AB39" s="207" t="e">
        <f>VLOOKUP(AC$2,Poule1,5,FALSE)</f>
        <v>#N/A</v>
      </c>
      <c r="AC39" s="208"/>
      <c r="AD39" s="208">
        <f t="shared" ref="AD39:AD44" si="84">IF(ISERROR(AB39),0,AB39)</f>
        <v>0</v>
      </c>
      <c r="AE39" s="210"/>
      <c r="AF39" s="207">
        <f>VLOOKUP(AG$2,Poule1,5,FALSE)</f>
        <v>22</v>
      </c>
      <c r="AG39" s="208"/>
      <c r="AH39" s="208">
        <f t="shared" ref="AH39:AH44" si="85">IF(ISERROR(AF39),0,AF39)</f>
        <v>22</v>
      </c>
      <c r="AI39" s="210"/>
      <c r="AJ39" s="207">
        <f>VLOOKUP(AK$2,Poule1,5,FALSE)</f>
        <v>14</v>
      </c>
      <c r="AK39" s="208"/>
      <c r="AL39" s="208">
        <f t="shared" ref="AL39:AL44" si="86">IF(ISERROR(AJ39),0,AJ39)</f>
        <v>14</v>
      </c>
      <c r="AM39" s="210"/>
      <c r="AN39" s="207">
        <f>VLOOKUP(AO$2,Poule1,5,FALSE)</f>
        <v>11</v>
      </c>
      <c r="AO39" s="208"/>
      <c r="AP39" s="208">
        <f t="shared" ref="AP39:AP44" si="87">IF(ISERROR(AN39),0,AN39)</f>
        <v>11</v>
      </c>
      <c r="AQ39" s="210"/>
      <c r="AR39" s="209">
        <f>VLOOKUP(AS$2,Poule1,5,FALSE)</f>
        <v>9</v>
      </c>
      <c r="AS39" s="208"/>
      <c r="AT39" s="208">
        <f t="shared" ref="AT39:AT44" si="88">IF(ISERROR(AR39),0,AR39)</f>
        <v>9</v>
      </c>
      <c r="AU39" s="210"/>
      <c r="AV39" s="209" t="e">
        <f>VLOOKUP(AW$2,Poule1,5,FALSE)</f>
        <v>#N/A</v>
      </c>
      <c r="AW39" s="208"/>
      <c r="AX39" s="208">
        <f t="shared" ref="AX39:AX44" si="89">IF(ISERROR(AV39),0,AV39)</f>
        <v>0</v>
      </c>
      <c r="AY39" s="210"/>
      <c r="AZ39" s="209" t="e">
        <f>VLOOKUP(BA$2,Poule1,5,FALSE)</f>
        <v>#N/A</v>
      </c>
      <c r="BA39" s="208"/>
      <c r="BB39" s="208">
        <f t="shared" ref="BB39:BB44" si="90">IF(ISERROR(AZ39),0,AZ39)</f>
        <v>0</v>
      </c>
      <c r="BC39" s="210"/>
      <c r="BD39" s="209" t="e">
        <f>VLOOKUP(BE$2,Poule1,5,FALSE)</f>
        <v>#N/A</v>
      </c>
      <c r="BE39" s="208"/>
      <c r="BF39" s="208">
        <f t="shared" ref="BF39:BF44" si="91">IF(ISERROR(BD39),0,BD39)</f>
        <v>0</v>
      </c>
      <c r="BG39" s="210"/>
      <c r="BH39" s="209" t="e">
        <f>VLOOKUP(BI$2,Poule1,5,FALSE)</f>
        <v>#N/A</v>
      </c>
      <c r="BI39" s="208"/>
      <c r="BJ39" s="208">
        <f t="shared" ref="BJ39:BJ44" si="92">IF(ISERROR(BH39),0,BH39)</f>
        <v>0</v>
      </c>
      <c r="BK39" s="210"/>
      <c r="BL39" s="209" t="e">
        <f>VLOOKUP(BM$2,Poule1,5,FALSE)</f>
        <v>#N/A</v>
      </c>
      <c r="BM39" s="208"/>
      <c r="BN39" s="208">
        <f t="shared" ref="BN39:BN44" si="93">IF(ISERROR(BL39),0,BL39)</f>
        <v>0</v>
      </c>
      <c r="BO39" s="210"/>
      <c r="BP39" s="209" t="e">
        <f>VLOOKUP(BQ$2,Poule1,5,FALSE)</f>
        <v>#N/A</v>
      </c>
      <c r="BQ39" s="208"/>
      <c r="BR39" s="208">
        <f t="shared" ref="BR39:BR44" si="94">IF(ISERROR(BP39),0,BP39)</f>
        <v>0</v>
      </c>
      <c r="BS39" s="210"/>
      <c r="BT39" s="209" t="e">
        <f>VLOOKUP(BU$2,Poule1,5,FALSE)</f>
        <v>#N/A</v>
      </c>
      <c r="BU39" s="208"/>
      <c r="BV39" s="208">
        <f t="shared" ref="BV39:BV44" si="95">IF(ISERROR(BT39),0,BT39)</f>
        <v>0</v>
      </c>
      <c r="BW39" s="210"/>
      <c r="BX39" s="209" t="e">
        <f>VLOOKUP(BY$2,Poule1,5,FALSE)</f>
        <v>#N/A</v>
      </c>
      <c r="BY39" s="208"/>
      <c r="BZ39" s="208">
        <f t="shared" ref="BZ39:BZ44" si="96">IF(ISERROR(BX39),0,BX39)</f>
        <v>0</v>
      </c>
      <c r="CA39" s="210"/>
      <c r="CB39" s="209" t="e">
        <f>VLOOKUP(CC$2,Poule1,5,FALSE)</f>
        <v>#N/A</v>
      </c>
      <c r="CC39" s="208"/>
      <c r="CD39" s="208">
        <f t="shared" ref="CD39:CD44" si="97">IF(ISERROR(CB39),0,CB39)</f>
        <v>0</v>
      </c>
      <c r="CE39" s="210"/>
      <c r="CF39" s="209" t="e">
        <f>VLOOKUP(CG$2,Poule1,5,FALSE)</f>
        <v>#N/A</v>
      </c>
      <c r="CG39" s="208"/>
      <c r="CH39" s="208">
        <f t="shared" ref="CH39:CH44" si="98">IF(ISERROR(CF39),0,CF39)</f>
        <v>0</v>
      </c>
      <c r="CI39" s="210"/>
      <c r="CJ39" s="209" t="e">
        <f>VLOOKUP(CK$2,Poule1,5,FALSE)</f>
        <v>#N/A</v>
      </c>
      <c r="CK39" s="208"/>
      <c r="CL39" s="208">
        <f t="shared" ref="CL39:CL44" si="99">IF(ISERROR(CJ39),0,CJ39)</f>
        <v>0</v>
      </c>
      <c r="CM39" s="210"/>
      <c r="CN39" s="209"/>
      <c r="CO39" s="208"/>
      <c r="CP39" s="208"/>
      <c r="CQ39" s="210"/>
      <c r="CY39" s="280" t="s">
        <v>118</v>
      </c>
      <c r="CZ39" s="280" t="s">
        <v>118</v>
      </c>
      <c r="DA39" s="280" t="s">
        <v>118</v>
      </c>
      <c r="DB39" s="280">
        <f>quotareduit</f>
        <v>0</v>
      </c>
      <c r="DC39" s="280" t="s">
        <v>118</v>
      </c>
      <c r="DE39" s="280" t="s">
        <v>118</v>
      </c>
      <c r="DF39" s="280" t="s">
        <v>118</v>
      </c>
      <c r="DG39" s="280">
        <f t="shared" si="70"/>
        <v>0</v>
      </c>
      <c r="DH39" s="280" t="s">
        <v>118</v>
      </c>
      <c r="DI39" s="280">
        <f t="shared" si="70"/>
        <v>0</v>
      </c>
      <c r="DJ39" s="280">
        <f t="shared" si="71"/>
        <v>80</v>
      </c>
      <c r="DK39" s="280" t="s">
        <v>118</v>
      </c>
      <c r="DL39" s="280">
        <f t="shared" si="72"/>
        <v>80</v>
      </c>
      <c r="DN39" s="280">
        <f t="shared" si="73"/>
        <v>0</v>
      </c>
      <c r="DP39" s="280" t="s">
        <v>118</v>
      </c>
      <c r="DQ39" s="280" t="s">
        <v>118</v>
      </c>
      <c r="DR39" s="280" t="s">
        <v>118</v>
      </c>
      <c r="DS39" s="280" t="s">
        <v>118</v>
      </c>
      <c r="DT39" s="280" t="s">
        <v>118</v>
      </c>
      <c r="DV39" s="280" t="s">
        <v>118</v>
      </c>
      <c r="DW39" s="280" t="s">
        <v>118</v>
      </c>
      <c r="DX39" s="280" t="s">
        <v>118</v>
      </c>
      <c r="DY39" s="280" t="s">
        <v>118</v>
      </c>
      <c r="DZ39" s="280" t="s">
        <v>118</v>
      </c>
      <c r="EA39" s="280" t="s">
        <v>118</v>
      </c>
      <c r="EB39" s="280" t="s">
        <v>118</v>
      </c>
      <c r="EC39" s="280" t="s">
        <v>118</v>
      </c>
      <c r="ED39" s="280" t="s">
        <v>118</v>
      </c>
      <c r="EE39" s="280">
        <f>quotareduit</f>
        <v>0</v>
      </c>
      <c r="EM39" s="199">
        <v>37</v>
      </c>
      <c r="EN39" s="280" t="str">
        <f>IF(EO39=1,"vip2",IF(EO39=2,"vip4","vip6"))</f>
        <v>vip2</v>
      </c>
      <c r="EO39" s="280">
        <f>RANK(EY39,$EY$39:$EY$41)</f>
        <v>1</v>
      </c>
      <c r="EP39" s="280" t="e">
        <f>HLOOKUP($A$3,Tb_Moyenneintermediaire,5,FALSE)</f>
        <v>#N/A</v>
      </c>
      <c r="EQ39" s="280">
        <f t="shared" si="74"/>
        <v>0</v>
      </c>
      <c r="ER39" s="306">
        <f t="shared" si="74"/>
        <v>0</v>
      </c>
      <c r="ES39" s="306">
        <f t="shared" si="74"/>
        <v>0</v>
      </c>
      <c r="ET39" s="308">
        <f t="shared" si="74"/>
        <v>0</v>
      </c>
      <c r="EU39" s="308">
        <f t="shared" si="74"/>
        <v>0</v>
      </c>
      <c r="EV39" s="309">
        <f t="shared" si="74"/>
        <v>0</v>
      </c>
      <c r="EW39" s="309"/>
      <c r="EX39" s="309"/>
      <c r="EY39" s="306">
        <f t="shared" si="75"/>
        <v>0</v>
      </c>
      <c r="FE39" s="280" t="e">
        <f t="shared" si="76"/>
        <v>#N/A</v>
      </c>
      <c r="FF39" s="280" t="e">
        <f t="shared" si="77"/>
        <v>#N/A</v>
      </c>
      <c r="FG39" s="280" t="e">
        <f t="shared" si="78"/>
        <v>#N/A</v>
      </c>
      <c r="FH39" s="280" t="e">
        <f t="shared" si="79"/>
        <v>#N/A</v>
      </c>
      <c r="FI39" s="280" t="e">
        <f t="shared" si="83"/>
        <v>#N/A</v>
      </c>
      <c r="FJ39" s="280" t="e">
        <f t="shared" si="80"/>
        <v>#N/A</v>
      </c>
      <c r="FK39" s="280" t="e">
        <f t="shared" si="81"/>
        <v>#N/A</v>
      </c>
      <c r="FL39" s="280" t="e">
        <f t="shared" si="82"/>
        <v>#N/A</v>
      </c>
      <c r="FQ39" s="280"/>
      <c r="FR39" s="280"/>
      <c r="FS39" s="212"/>
      <c r="FT39" s="280"/>
      <c r="FU39" s="280"/>
      <c r="FV39" s="280"/>
      <c r="FW39" s="280"/>
      <c r="FX39" s="280"/>
    </row>
    <row r="40" spans="1:180" ht="21.75" customHeight="1" x14ac:dyDescent="0.3">
      <c r="AA40" s="199" t="s">
        <v>146</v>
      </c>
      <c r="AB40" s="207">
        <f>VLOOKUP(AC$2,poule2,5,FALSE)</f>
        <v>12</v>
      </c>
      <c r="AC40" s="208"/>
      <c r="AD40" s="208">
        <f t="shared" si="84"/>
        <v>12</v>
      </c>
      <c r="AE40" s="208"/>
      <c r="AF40" s="207">
        <f>VLOOKUP(AG$2,poule2,5,FALSE)</f>
        <v>8</v>
      </c>
      <c r="AG40" s="208"/>
      <c r="AH40" s="208">
        <f t="shared" si="85"/>
        <v>8</v>
      </c>
      <c r="AI40" s="208"/>
      <c r="AJ40" s="207">
        <f>VLOOKUP(AK$2,poule2,5,FALSE)</f>
        <v>17</v>
      </c>
      <c r="AK40" s="208"/>
      <c r="AL40" s="208">
        <f t="shared" si="86"/>
        <v>17</v>
      </c>
      <c r="AM40" s="208"/>
      <c r="AN40" s="207" t="e">
        <f>VLOOKUP(AO$2,poule2,5,FALSE)</f>
        <v>#N/A</v>
      </c>
      <c r="AO40" s="208"/>
      <c r="AP40" s="208">
        <f t="shared" si="87"/>
        <v>0</v>
      </c>
      <c r="AQ40" s="208"/>
      <c r="AR40" s="209">
        <f>VLOOKUP(AS$2,poule2,5,FALSE)</f>
        <v>18</v>
      </c>
      <c r="AS40" s="208"/>
      <c r="AT40" s="208">
        <f t="shared" si="88"/>
        <v>18</v>
      </c>
      <c r="AU40" s="208"/>
      <c r="AV40" s="209" t="e">
        <f>VLOOKUP(AW$2,poule2,5,FALSE)</f>
        <v>#N/A</v>
      </c>
      <c r="AW40" s="208"/>
      <c r="AX40" s="208">
        <f t="shared" si="89"/>
        <v>0</v>
      </c>
      <c r="AY40" s="208"/>
      <c r="AZ40" s="209" t="e">
        <f>VLOOKUP(BA$2,poule2,5,FALSE)</f>
        <v>#N/A</v>
      </c>
      <c r="BA40" s="208"/>
      <c r="BB40" s="208">
        <f t="shared" si="90"/>
        <v>0</v>
      </c>
      <c r="BC40" s="208"/>
      <c r="BD40" s="209" t="e">
        <f>VLOOKUP(BE$2,poule2,5,FALSE)</f>
        <v>#N/A</v>
      </c>
      <c r="BE40" s="208"/>
      <c r="BF40" s="208">
        <f t="shared" si="91"/>
        <v>0</v>
      </c>
      <c r="BG40" s="208"/>
      <c r="BH40" s="209" t="e">
        <f>VLOOKUP(BI$2,poule2,5,FALSE)</f>
        <v>#N/A</v>
      </c>
      <c r="BI40" s="208"/>
      <c r="BJ40" s="208">
        <f t="shared" si="92"/>
        <v>0</v>
      </c>
      <c r="BK40" s="208"/>
      <c r="BL40" s="209" t="e">
        <f>VLOOKUP(BM$2,poule2,5,FALSE)</f>
        <v>#N/A</v>
      </c>
      <c r="BM40" s="208"/>
      <c r="BN40" s="208">
        <f t="shared" si="93"/>
        <v>0</v>
      </c>
      <c r="BO40" s="208"/>
      <c r="BP40" s="209" t="e">
        <f>VLOOKUP(BQ$2,poule2,5,FALSE)</f>
        <v>#N/A</v>
      </c>
      <c r="BQ40" s="208"/>
      <c r="BR40" s="208">
        <f t="shared" si="94"/>
        <v>0</v>
      </c>
      <c r="BS40" s="208"/>
      <c r="BT40" s="209" t="e">
        <f>VLOOKUP(BU$2,poule2,5,FALSE)</f>
        <v>#N/A</v>
      </c>
      <c r="BU40" s="208"/>
      <c r="BV40" s="208">
        <f t="shared" si="95"/>
        <v>0</v>
      </c>
      <c r="BW40" s="208"/>
      <c r="BX40" s="209" t="e">
        <f>VLOOKUP(BY$2,poule2,5,FALSE)</f>
        <v>#N/A</v>
      </c>
      <c r="BY40" s="208"/>
      <c r="BZ40" s="208">
        <f t="shared" si="96"/>
        <v>0</v>
      </c>
      <c r="CA40" s="208"/>
      <c r="CB40" s="209" t="e">
        <f>VLOOKUP(CC$2,poule2,5,FALSE)</f>
        <v>#N/A</v>
      </c>
      <c r="CC40" s="208"/>
      <c r="CD40" s="208">
        <f t="shared" si="97"/>
        <v>0</v>
      </c>
      <c r="CE40" s="208"/>
      <c r="CF40" s="209" t="e">
        <f>VLOOKUP(CG$2,poule2,5,FALSE)</f>
        <v>#N/A</v>
      </c>
      <c r="CG40" s="208"/>
      <c r="CH40" s="208">
        <f t="shared" si="98"/>
        <v>0</v>
      </c>
      <c r="CI40" s="208"/>
      <c r="CJ40" s="209" t="e">
        <f>VLOOKUP(CK$2,poule2,5,FALSE)</f>
        <v>#N/A</v>
      </c>
      <c r="CK40" s="208"/>
      <c r="CL40" s="208">
        <f t="shared" si="99"/>
        <v>0</v>
      </c>
      <c r="CM40" s="208"/>
      <c r="CN40" s="209"/>
      <c r="CO40" s="208"/>
      <c r="CP40" s="208"/>
      <c r="CQ40" s="210"/>
      <c r="CY40" s="280" t="s">
        <v>118</v>
      </c>
      <c r="CZ40" s="280" t="s">
        <v>118</v>
      </c>
      <c r="DA40" s="280" t="s">
        <v>118</v>
      </c>
      <c r="DB40" s="280" t="s">
        <v>118</v>
      </c>
      <c r="DC40" s="280" t="s">
        <v>118</v>
      </c>
      <c r="DE40" s="280" t="s">
        <v>118</v>
      </c>
      <c r="DF40" s="280" t="s">
        <v>118</v>
      </c>
      <c r="DG40" s="280" t="s">
        <v>118</v>
      </c>
      <c r="DH40" s="280">
        <f>quotareduit</f>
        <v>0</v>
      </c>
      <c r="DI40" s="280" t="s">
        <v>118</v>
      </c>
      <c r="DJ40" s="280" t="s">
        <v>118</v>
      </c>
      <c r="DK40" s="280" t="s">
        <v>118</v>
      </c>
      <c r="DL40" s="280">
        <f t="shared" si="72"/>
        <v>80</v>
      </c>
      <c r="DN40" s="280" t="s">
        <v>118</v>
      </c>
      <c r="DP40" s="280" t="s">
        <v>118</v>
      </c>
      <c r="DQ40" s="280" t="s">
        <v>118</v>
      </c>
      <c r="DR40" s="280" t="s">
        <v>118</v>
      </c>
      <c r="DS40" s="280" t="s">
        <v>118</v>
      </c>
      <c r="DT40" s="280" t="s">
        <v>118</v>
      </c>
      <c r="DV40" s="280" t="s">
        <v>118</v>
      </c>
      <c r="DW40" s="280" t="s">
        <v>118</v>
      </c>
      <c r="DX40" s="280" t="s">
        <v>118</v>
      </c>
      <c r="DY40" s="280" t="s">
        <v>118</v>
      </c>
      <c r="DZ40" s="280" t="s">
        <v>118</v>
      </c>
      <c r="EA40" s="280" t="s">
        <v>118</v>
      </c>
      <c r="EB40" s="280" t="s">
        <v>118</v>
      </c>
      <c r="EC40" s="280" t="s">
        <v>118</v>
      </c>
      <c r="ED40" s="280" t="s">
        <v>118</v>
      </c>
      <c r="EE40" s="280">
        <f>quotareduit</f>
        <v>0</v>
      </c>
      <c r="EM40" s="199">
        <v>38</v>
      </c>
      <c r="EN40" s="280" t="str">
        <f>IF(EO40=1,"vip2",IF(EO40=2,"vip4","vip6"))</f>
        <v>vip2</v>
      </c>
      <c r="EO40" s="280">
        <f>RANK(EY40,$EY$39:$EY$41)</f>
        <v>1</v>
      </c>
      <c r="EP40" s="280" t="e">
        <f>HLOOKUP($A$3,Tb_Moyenneintermediaire,6,FALSE)</f>
        <v>#N/A</v>
      </c>
      <c r="EQ40" s="280">
        <f t="shared" si="74"/>
        <v>0</v>
      </c>
      <c r="ER40" s="306">
        <f t="shared" si="74"/>
        <v>0</v>
      </c>
      <c r="ES40" s="306">
        <f t="shared" si="74"/>
        <v>0</v>
      </c>
      <c r="ET40" s="308">
        <f t="shared" si="74"/>
        <v>0</v>
      </c>
      <c r="EU40" s="308">
        <f>IF(ISERROR(FI40),0,FI40)</f>
        <v>0</v>
      </c>
      <c r="EV40" s="309">
        <f t="shared" si="74"/>
        <v>0</v>
      </c>
      <c r="EW40" s="309"/>
      <c r="EX40" s="309"/>
      <c r="EY40" s="306">
        <f t="shared" si="75"/>
        <v>0</v>
      </c>
      <c r="FE40" s="280" t="e">
        <f t="shared" si="76"/>
        <v>#N/A</v>
      </c>
      <c r="FF40" s="280" t="e">
        <f t="shared" si="77"/>
        <v>#N/A</v>
      </c>
      <c r="FG40" s="280" t="e">
        <f t="shared" si="78"/>
        <v>#N/A</v>
      </c>
      <c r="FH40" s="280" t="e">
        <f t="shared" si="79"/>
        <v>#N/A</v>
      </c>
      <c r="FI40" s="280" t="e">
        <f t="shared" si="83"/>
        <v>#N/A</v>
      </c>
      <c r="FJ40" s="280" t="e">
        <f t="shared" si="80"/>
        <v>#N/A</v>
      </c>
      <c r="FK40" s="280" t="e">
        <f t="shared" si="81"/>
        <v>#N/A</v>
      </c>
      <c r="FL40" s="280" t="e">
        <f t="shared" si="82"/>
        <v>#N/A</v>
      </c>
      <c r="FQ40" s="280"/>
      <c r="FR40" s="280"/>
      <c r="FS40" s="212"/>
      <c r="FT40" s="280"/>
      <c r="FU40" s="280"/>
      <c r="FV40" s="280"/>
      <c r="FW40" s="280"/>
      <c r="FX40" s="280"/>
    </row>
    <row r="41" spans="1:180" ht="21" customHeight="1" x14ac:dyDescent="0.3">
      <c r="AA41" s="199" t="s">
        <v>147</v>
      </c>
      <c r="AB41" s="207">
        <f>VLOOKUP(AC$2,poule3,5,FALSE)</f>
        <v>17</v>
      </c>
      <c r="AC41" s="208"/>
      <c r="AD41" s="208">
        <f t="shared" si="84"/>
        <v>17</v>
      </c>
      <c r="AE41" s="210"/>
      <c r="AF41" s="207" t="e">
        <f>VLOOKUP(AG$2,poule3,5,FALSE)</f>
        <v>#N/A</v>
      </c>
      <c r="AG41" s="208"/>
      <c r="AH41" s="208">
        <f t="shared" si="85"/>
        <v>0</v>
      </c>
      <c r="AI41" s="210"/>
      <c r="AJ41" s="207">
        <f>VLOOKUP(AK$2,poule3,5,FALSE)</f>
        <v>16</v>
      </c>
      <c r="AK41" s="208"/>
      <c r="AL41" s="208">
        <f t="shared" si="86"/>
        <v>16</v>
      </c>
      <c r="AM41" s="210"/>
      <c r="AN41" s="207">
        <f>VLOOKUP(AO$2,poule3,5,FALSE)</f>
        <v>9</v>
      </c>
      <c r="AO41" s="208"/>
      <c r="AP41" s="208">
        <f t="shared" si="87"/>
        <v>9</v>
      </c>
      <c r="AQ41" s="210"/>
      <c r="AR41" s="213">
        <f>VLOOKUP(AS$2,poule3,5,FALSE)</f>
        <v>19</v>
      </c>
      <c r="AS41" s="208"/>
      <c r="AT41" s="208">
        <f t="shared" si="88"/>
        <v>19</v>
      </c>
      <c r="AU41" s="210"/>
      <c r="AV41" s="213" t="e">
        <f>VLOOKUP(AW$2,poule3,5,FALSE)</f>
        <v>#N/A</v>
      </c>
      <c r="AW41" s="208"/>
      <c r="AX41" s="208">
        <f t="shared" si="89"/>
        <v>0</v>
      </c>
      <c r="AY41" s="210"/>
      <c r="AZ41" s="213" t="e">
        <f>VLOOKUP(BA$2,poule3,5,FALSE)</f>
        <v>#N/A</v>
      </c>
      <c r="BA41" s="208"/>
      <c r="BB41" s="208">
        <f t="shared" si="90"/>
        <v>0</v>
      </c>
      <c r="BC41" s="210"/>
      <c r="BD41" s="213" t="e">
        <f>VLOOKUP(BE$2,poule3,5,FALSE)</f>
        <v>#N/A</v>
      </c>
      <c r="BE41" s="208"/>
      <c r="BF41" s="208">
        <f t="shared" si="91"/>
        <v>0</v>
      </c>
      <c r="BG41" s="210"/>
      <c r="BH41" s="213" t="e">
        <f>VLOOKUP(BI$2,poule3,5,FALSE)</f>
        <v>#N/A</v>
      </c>
      <c r="BI41" s="208"/>
      <c r="BJ41" s="208">
        <f t="shared" si="92"/>
        <v>0</v>
      </c>
      <c r="BK41" s="210"/>
      <c r="BL41" s="213" t="e">
        <f>VLOOKUP(BM$2,poule3,5,FALSE)</f>
        <v>#N/A</v>
      </c>
      <c r="BM41" s="208"/>
      <c r="BN41" s="208">
        <f t="shared" si="93"/>
        <v>0</v>
      </c>
      <c r="BO41" s="210"/>
      <c r="BP41" s="213" t="e">
        <f>VLOOKUP(BQ$2,poule3,5,FALSE)</f>
        <v>#N/A</v>
      </c>
      <c r="BQ41" s="208"/>
      <c r="BR41" s="208">
        <f t="shared" si="94"/>
        <v>0</v>
      </c>
      <c r="BS41" s="210"/>
      <c r="BT41" s="213" t="e">
        <f>VLOOKUP(BU$2,poule3,5,FALSE)</f>
        <v>#N/A</v>
      </c>
      <c r="BU41" s="208"/>
      <c r="BV41" s="208">
        <f t="shared" si="95"/>
        <v>0</v>
      </c>
      <c r="BW41" s="210"/>
      <c r="BX41" s="213" t="e">
        <f>VLOOKUP(BY$2,poule3,5,FALSE)</f>
        <v>#N/A</v>
      </c>
      <c r="BY41" s="208"/>
      <c r="BZ41" s="208">
        <f t="shared" si="96"/>
        <v>0</v>
      </c>
      <c r="CA41" s="210"/>
      <c r="CB41" s="213" t="e">
        <f>VLOOKUP(CC$2,poule3,5,FALSE)</f>
        <v>#N/A</v>
      </c>
      <c r="CC41" s="208"/>
      <c r="CD41" s="208">
        <f t="shared" si="97"/>
        <v>0</v>
      </c>
      <c r="CE41" s="210"/>
      <c r="CF41" s="213" t="e">
        <f>VLOOKUP(CG$2,poule3,5,FALSE)</f>
        <v>#N/A</v>
      </c>
      <c r="CG41" s="208"/>
      <c r="CH41" s="208">
        <f t="shared" si="98"/>
        <v>0</v>
      </c>
      <c r="CI41" s="210"/>
      <c r="CJ41" s="213" t="e">
        <f>VLOOKUP(CK$2,poule3,5,FALSE)</f>
        <v>#N/A</v>
      </c>
      <c r="CK41" s="208"/>
      <c r="CL41" s="208">
        <f t="shared" si="99"/>
        <v>0</v>
      </c>
      <c r="CM41" s="210"/>
      <c r="CN41" s="213"/>
      <c r="CO41" s="208"/>
      <c r="CP41" s="208"/>
      <c r="CQ41" s="210"/>
      <c r="CY41" s="280" t="s">
        <v>118</v>
      </c>
      <c r="CZ41" s="280" t="s">
        <v>118</v>
      </c>
      <c r="DA41" s="280" t="s">
        <v>118</v>
      </c>
      <c r="DB41" s="280" t="s">
        <v>118</v>
      </c>
      <c r="DC41" s="280" t="s">
        <v>118</v>
      </c>
      <c r="DE41" s="280" t="s">
        <v>118</v>
      </c>
      <c r="DF41" s="280" t="s">
        <v>118</v>
      </c>
      <c r="DG41" s="280" t="s">
        <v>118</v>
      </c>
      <c r="DH41" s="280">
        <f>quotareduit</f>
        <v>0</v>
      </c>
      <c r="DI41" s="280" t="s">
        <v>118</v>
      </c>
      <c r="DJ41" s="280" t="s">
        <v>118</v>
      </c>
      <c r="DK41" s="280" t="s">
        <v>118</v>
      </c>
      <c r="DL41" s="280">
        <f t="shared" si="72"/>
        <v>80</v>
      </c>
      <c r="DN41" s="280" t="s">
        <v>118</v>
      </c>
      <c r="DP41" s="280" t="s">
        <v>118</v>
      </c>
      <c r="DQ41" s="280" t="s">
        <v>118</v>
      </c>
      <c r="DR41" s="280" t="s">
        <v>118</v>
      </c>
      <c r="DS41" s="280" t="s">
        <v>118</v>
      </c>
      <c r="DT41" s="280" t="s">
        <v>118</v>
      </c>
      <c r="DV41" s="280" t="s">
        <v>118</v>
      </c>
      <c r="DW41" s="280" t="s">
        <v>118</v>
      </c>
      <c r="DX41" s="280" t="s">
        <v>118</v>
      </c>
      <c r="DY41" s="280" t="s">
        <v>118</v>
      </c>
      <c r="DZ41" s="280" t="s">
        <v>118</v>
      </c>
      <c r="EA41" s="280" t="s">
        <v>118</v>
      </c>
      <c r="EB41" s="280" t="s">
        <v>118</v>
      </c>
      <c r="EC41" s="280" t="s">
        <v>118</v>
      </c>
      <c r="ED41" s="280" t="s">
        <v>118</v>
      </c>
      <c r="EE41" s="280">
        <f>quotareduit</f>
        <v>0</v>
      </c>
      <c r="EM41" s="199">
        <v>39</v>
      </c>
      <c r="EN41" s="280" t="str">
        <f>IF(EO41=1,"vip2",IF(EO41=2,"vip4","vip6"))</f>
        <v>vip2</v>
      </c>
      <c r="EO41" s="280">
        <f>RANK(EY41,$EY$39:$EY$41)</f>
        <v>1</v>
      </c>
      <c r="EP41" s="280" t="e">
        <f>HLOOKUP($A$3,Tb_Moyenneintermediaire,7,FALSE)</f>
        <v>#N/A</v>
      </c>
      <c r="EQ41" s="280">
        <f t="shared" si="74"/>
        <v>0</v>
      </c>
      <c r="ER41" s="306">
        <f t="shared" si="74"/>
        <v>0</v>
      </c>
      <c r="ES41" s="306">
        <f t="shared" si="74"/>
        <v>0</v>
      </c>
      <c r="ET41" s="308">
        <f t="shared" si="74"/>
        <v>0</v>
      </c>
      <c r="EU41" s="308">
        <f t="shared" si="74"/>
        <v>0</v>
      </c>
      <c r="EV41" s="309">
        <f t="shared" si="74"/>
        <v>0</v>
      </c>
      <c r="EW41" s="309"/>
      <c r="EX41" s="309"/>
      <c r="EY41" s="306">
        <f t="shared" si="75"/>
        <v>0</v>
      </c>
      <c r="FE41" s="280" t="e">
        <f t="shared" si="76"/>
        <v>#N/A</v>
      </c>
      <c r="FF41" s="280" t="e">
        <f t="shared" si="77"/>
        <v>#N/A</v>
      </c>
      <c r="FG41" s="280" t="e">
        <f t="shared" si="78"/>
        <v>#N/A</v>
      </c>
      <c r="FH41" s="280" t="e">
        <f t="shared" si="79"/>
        <v>#N/A</v>
      </c>
      <c r="FI41" s="280" t="e">
        <f t="shared" si="83"/>
        <v>#N/A</v>
      </c>
      <c r="FJ41" s="280" t="e">
        <f t="shared" si="80"/>
        <v>#N/A</v>
      </c>
      <c r="FK41" s="280" t="e">
        <f t="shared" si="81"/>
        <v>#N/A</v>
      </c>
      <c r="FL41" s="280" t="e">
        <f t="shared" si="82"/>
        <v>#N/A</v>
      </c>
      <c r="FQ41" s="280"/>
      <c r="FR41" s="280"/>
      <c r="FS41" s="280"/>
      <c r="FT41" s="280"/>
      <c r="FU41" s="280"/>
      <c r="FV41" s="280"/>
      <c r="FW41" s="280"/>
      <c r="FX41" s="280"/>
    </row>
    <row r="42" spans="1:180" ht="21" customHeight="1" x14ac:dyDescent="0.3">
      <c r="AA42" s="199" t="s">
        <v>148</v>
      </c>
      <c r="AB42" s="207">
        <f>VLOOKUP(AC$2,poule4,5,FALSE)</f>
        <v>12</v>
      </c>
      <c r="AC42" s="208"/>
      <c r="AD42" s="208">
        <f t="shared" si="84"/>
        <v>12</v>
      </c>
      <c r="AE42" s="210"/>
      <c r="AF42" s="207">
        <f>VLOOKUP(AG$2,poule4,5,FALSE)</f>
        <v>11</v>
      </c>
      <c r="AG42" s="208"/>
      <c r="AH42" s="208">
        <f t="shared" si="85"/>
        <v>11</v>
      </c>
      <c r="AI42" s="210"/>
      <c r="AJ42" s="207">
        <f>VLOOKUP(AK$2,poule4,5,FALSE)</f>
        <v>17</v>
      </c>
      <c r="AK42" s="208"/>
      <c r="AL42" s="208">
        <f t="shared" si="86"/>
        <v>17</v>
      </c>
      <c r="AM42" s="210"/>
      <c r="AN42" s="207">
        <f>VLOOKUP(AO$2,poule4,5,FALSE)</f>
        <v>6</v>
      </c>
      <c r="AO42" s="208"/>
      <c r="AP42" s="208">
        <f t="shared" si="87"/>
        <v>6</v>
      </c>
      <c r="AQ42" s="210"/>
      <c r="AR42" s="209" t="e">
        <f>VLOOKUP(AS$2,poule4,5,FALSE)</f>
        <v>#N/A</v>
      </c>
      <c r="AS42" s="208"/>
      <c r="AT42" s="208">
        <f t="shared" si="88"/>
        <v>0</v>
      </c>
      <c r="AU42" s="210"/>
      <c r="AV42" s="209" t="e">
        <f>VLOOKUP(AW$2,poule4,5,FALSE)</f>
        <v>#N/A</v>
      </c>
      <c r="AW42" s="208"/>
      <c r="AX42" s="208">
        <f t="shared" si="89"/>
        <v>0</v>
      </c>
      <c r="AY42" s="210"/>
      <c r="AZ42" s="209" t="e">
        <f>VLOOKUP(BA$2,poule4,5,FALSE)</f>
        <v>#N/A</v>
      </c>
      <c r="BA42" s="208"/>
      <c r="BB42" s="208">
        <f t="shared" si="90"/>
        <v>0</v>
      </c>
      <c r="BC42" s="210"/>
      <c r="BD42" s="209" t="e">
        <f>VLOOKUP(BE$2,poule4,5,FALSE)</f>
        <v>#N/A</v>
      </c>
      <c r="BE42" s="208"/>
      <c r="BF42" s="208">
        <f t="shared" si="91"/>
        <v>0</v>
      </c>
      <c r="BG42" s="210"/>
      <c r="BH42" s="209" t="e">
        <f>VLOOKUP(BI$2,poule4,5,FALSE)</f>
        <v>#N/A</v>
      </c>
      <c r="BI42" s="208"/>
      <c r="BJ42" s="208">
        <f t="shared" si="92"/>
        <v>0</v>
      </c>
      <c r="BK42" s="210"/>
      <c r="BL42" s="209" t="e">
        <f>VLOOKUP(BM$2,poule4,5,FALSE)</f>
        <v>#N/A</v>
      </c>
      <c r="BM42" s="208"/>
      <c r="BN42" s="208">
        <f t="shared" si="93"/>
        <v>0</v>
      </c>
      <c r="BO42" s="210"/>
      <c r="BP42" s="209" t="e">
        <f>VLOOKUP(BQ$2,poule4,5,FALSE)</f>
        <v>#N/A</v>
      </c>
      <c r="BQ42" s="208"/>
      <c r="BR42" s="208">
        <f t="shared" si="94"/>
        <v>0</v>
      </c>
      <c r="BS42" s="210"/>
      <c r="BT42" s="209" t="e">
        <f>VLOOKUP(BU$2,poule4,5,FALSE)</f>
        <v>#N/A</v>
      </c>
      <c r="BU42" s="208"/>
      <c r="BV42" s="208">
        <f t="shared" si="95"/>
        <v>0</v>
      </c>
      <c r="BW42" s="210"/>
      <c r="BX42" s="209" t="e">
        <f>VLOOKUP(BY$2,poule4,5,FALSE)</f>
        <v>#N/A</v>
      </c>
      <c r="BY42" s="208"/>
      <c r="BZ42" s="208">
        <f t="shared" si="96"/>
        <v>0</v>
      </c>
      <c r="CA42" s="210"/>
      <c r="CB42" s="209" t="e">
        <f>VLOOKUP(CC$2,poule4,5,FALSE)</f>
        <v>#N/A</v>
      </c>
      <c r="CC42" s="208"/>
      <c r="CD42" s="208">
        <f t="shared" si="97"/>
        <v>0</v>
      </c>
      <c r="CE42" s="210"/>
      <c r="CF42" s="209" t="e">
        <f>VLOOKUP(CG$2,poule4,5,FALSE)</f>
        <v>#N/A</v>
      </c>
      <c r="CG42" s="208"/>
      <c r="CH42" s="208">
        <f t="shared" si="98"/>
        <v>0</v>
      </c>
      <c r="CI42" s="210"/>
      <c r="CJ42" s="209" t="e">
        <f>VLOOKUP(CK$2,poule4,5,FALSE)</f>
        <v>#N/A</v>
      </c>
      <c r="CK42" s="208"/>
      <c r="CL42" s="208">
        <f t="shared" si="99"/>
        <v>0</v>
      </c>
      <c r="CM42" s="210"/>
      <c r="CN42" s="198"/>
      <c r="CO42" s="199"/>
      <c r="CP42" s="199"/>
      <c r="CQ42" s="197"/>
      <c r="EM42" s="199">
        <v>40</v>
      </c>
      <c r="ET42" s="308"/>
      <c r="EU42" s="308"/>
      <c r="EV42" s="309"/>
      <c r="EW42" s="309"/>
      <c r="EX42" s="309"/>
      <c r="FE42" s="280" t="e">
        <f t="shared" si="76"/>
        <v>#N/A</v>
      </c>
      <c r="FF42" s="280" t="e">
        <f t="shared" si="77"/>
        <v>#N/A</v>
      </c>
      <c r="FG42" s="280" t="e">
        <f t="shared" si="78"/>
        <v>#N/A</v>
      </c>
      <c r="FH42" s="280" t="e">
        <f t="shared" si="79"/>
        <v>#N/A</v>
      </c>
      <c r="FI42" s="280" t="e">
        <f t="shared" si="83"/>
        <v>#N/A</v>
      </c>
      <c r="FJ42" s="280" t="e">
        <f t="shared" si="80"/>
        <v>#N/A</v>
      </c>
      <c r="FK42" s="280" t="e">
        <f t="shared" si="81"/>
        <v>#N/A</v>
      </c>
      <c r="FL42" s="280" t="e">
        <f t="shared" si="82"/>
        <v>#N/A</v>
      </c>
      <c r="FQ42" s="280"/>
      <c r="FR42" s="280"/>
      <c r="FS42" s="280"/>
      <c r="FT42" s="280"/>
      <c r="FU42" s="199"/>
      <c r="FV42" s="199"/>
      <c r="FW42" s="199"/>
      <c r="FX42" s="199"/>
    </row>
    <row r="43" spans="1:180" ht="23.25" customHeight="1" x14ac:dyDescent="0.3">
      <c r="AA43" s="199" t="s">
        <v>149</v>
      </c>
      <c r="AB43" s="207">
        <f>VLOOKUP(AC$2,poule5,5,FALSE)</f>
        <v>27</v>
      </c>
      <c r="AC43" s="208"/>
      <c r="AD43" s="208">
        <f t="shared" si="84"/>
        <v>27</v>
      </c>
      <c r="AE43" s="210"/>
      <c r="AF43" s="207">
        <f>VLOOKUP(AG$2,poule5,5,FALSE)</f>
        <v>11</v>
      </c>
      <c r="AG43" s="208"/>
      <c r="AH43" s="208">
        <f t="shared" si="85"/>
        <v>11</v>
      </c>
      <c r="AI43" s="210"/>
      <c r="AJ43" s="207" t="e">
        <f>VLOOKUP(AK$2,poule5,5,FALSE)</f>
        <v>#N/A</v>
      </c>
      <c r="AK43" s="208"/>
      <c r="AL43" s="208">
        <f t="shared" si="86"/>
        <v>0</v>
      </c>
      <c r="AM43" s="210"/>
      <c r="AN43" s="207">
        <f>VLOOKUP(AO$2,poule5,5,FALSE)</f>
        <v>20</v>
      </c>
      <c r="AO43" s="208"/>
      <c r="AP43" s="208">
        <f t="shared" si="87"/>
        <v>20</v>
      </c>
      <c r="AQ43" s="210"/>
      <c r="AR43" s="209">
        <f>VLOOKUP(AS$2,poule5,5,FALSE)</f>
        <v>11</v>
      </c>
      <c r="AS43" s="208"/>
      <c r="AT43" s="208">
        <f t="shared" si="88"/>
        <v>11</v>
      </c>
      <c r="AU43" s="210"/>
      <c r="AV43" s="209" t="e">
        <f>VLOOKUP(AW$2,poule5,5,FALSE)</f>
        <v>#N/A</v>
      </c>
      <c r="AW43" s="208"/>
      <c r="AX43" s="208">
        <f t="shared" si="89"/>
        <v>0</v>
      </c>
      <c r="AY43" s="210"/>
      <c r="AZ43" s="209" t="e">
        <f>VLOOKUP(BA$2,poule5,5,FALSE)</f>
        <v>#N/A</v>
      </c>
      <c r="BA43" s="208"/>
      <c r="BB43" s="208">
        <f t="shared" si="90"/>
        <v>0</v>
      </c>
      <c r="BC43" s="210"/>
      <c r="BD43" s="209" t="e">
        <f>VLOOKUP(BE$2,poule5,5,FALSE)</f>
        <v>#N/A</v>
      </c>
      <c r="BE43" s="208"/>
      <c r="BF43" s="208">
        <f t="shared" si="91"/>
        <v>0</v>
      </c>
      <c r="BG43" s="210"/>
      <c r="BH43" s="209" t="e">
        <f>VLOOKUP(BI$2,poule5,5,FALSE)</f>
        <v>#N/A</v>
      </c>
      <c r="BI43" s="208"/>
      <c r="BJ43" s="208">
        <f t="shared" si="92"/>
        <v>0</v>
      </c>
      <c r="BK43" s="210"/>
      <c r="BL43" s="209" t="e">
        <f>VLOOKUP(BM$2,poule5,5,FALSE)</f>
        <v>#N/A</v>
      </c>
      <c r="BM43" s="208"/>
      <c r="BN43" s="208">
        <f t="shared" si="93"/>
        <v>0</v>
      </c>
      <c r="BO43" s="210"/>
      <c r="BP43" s="209" t="e">
        <f>VLOOKUP(BQ$2,poule5,5,FALSE)</f>
        <v>#N/A</v>
      </c>
      <c r="BQ43" s="208"/>
      <c r="BR43" s="208">
        <f t="shared" si="94"/>
        <v>0</v>
      </c>
      <c r="BS43" s="210"/>
      <c r="BT43" s="209" t="e">
        <f>VLOOKUP(BU$2,poule5,5,FALSE)</f>
        <v>#N/A</v>
      </c>
      <c r="BU43" s="208"/>
      <c r="BV43" s="208">
        <f t="shared" si="95"/>
        <v>0</v>
      </c>
      <c r="BW43" s="210"/>
      <c r="BX43" s="209" t="e">
        <f>VLOOKUP(BY$2,poule5,5,FALSE)</f>
        <v>#N/A</v>
      </c>
      <c r="BY43" s="208"/>
      <c r="BZ43" s="208">
        <f t="shared" si="96"/>
        <v>0</v>
      </c>
      <c r="CA43" s="210"/>
      <c r="CB43" s="209" t="e">
        <f>VLOOKUP(CC$2,poule5,5,FALSE)</f>
        <v>#N/A</v>
      </c>
      <c r="CC43" s="208"/>
      <c r="CD43" s="208">
        <f t="shared" si="97"/>
        <v>0</v>
      </c>
      <c r="CE43" s="210"/>
      <c r="CF43" s="209" t="e">
        <f>VLOOKUP(CG$2,poule5,5,FALSE)</f>
        <v>#N/A</v>
      </c>
      <c r="CG43" s="208"/>
      <c r="CH43" s="208">
        <f t="shared" si="98"/>
        <v>0</v>
      </c>
      <c r="CI43" s="210"/>
      <c r="CJ43" s="209" t="e">
        <f>VLOOKUP(CK$2,poule5,5,FALSE)</f>
        <v>#N/A</v>
      </c>
      <c r="CK43" s="208"/>
      <c r="CL43" s="208">
        <f t="shared" si="99"/>
        <v>0</v>
      </c>
      <c r="CM43" s="210"/>
      <c r="CN43" s="245"/>
      <c r="CO43" s="246"/>
      <c r="CP43" s="246"/>
      <c r="CQ43" s="247"/>
      <c r="EM43" s="199">
        <v>41</v>
      </c>
      <c r="ET43" s="308"/>
      <c r="EU43" s="308"/>
      <c r="EV43" s="309"/>
      <c r="EW43" s="309"/>
      <c r="EX43" s="309"/>
      <c r="FE43" s="280" t="e">
        <f t="shared" si="76"/>
        <v>#N/A</v>
      </c>
      <c r="FF43" s="280" t="e">
        <f t="shared" si="77"/>
        <v>#N/A</v>
      </c>
      <c r="FG43" s="280" t="e">
        <f t="shared" si="78"/>
        <v>#N/A</v>
      </c>
      <c r="FH43" s="280" t="e">
        <f t="shared" si="79"/>
        <v>#N/A</v>
      </c>
      <c r="FI43" s="280" t="e">
        <f t="shared" si="83"/>
        <v>#N/A</v>
      </c>
      <c r="FJ43" s="280" t="e">
        <f t="shared" si="80"/>
        <v>#N/A</v>
      </c>
      <c r="FK43" s="280" t="e">
        <f t="shared" si="81"/>
        <v>#N/A</v>
      </c>
      <c r="FL43" s="280" t="e">
        <f t="shared" si="82"/>
        <v>#N/A</v>
      </c>
      <c r="FQ43" s="280"/>
      <c r="FR43" s="280"/>
      <c r="FS43" s="280"/>
      <c r="FT43" s="280"/>
      <c r="FU43" s="280"/>
      <c r="FV43" s="280"/>
      <c r="FW43" s="280"/>
      <c r="FX43" s="280"/>
    </row>
    <row r="44" spans="1:180" ht="21" customHeight="1" x14ac:dyDescent="0.3">
      <c r="AA44" s="199" t="s">
        <v>150</v>
      </c>
      <c r="AB44" s="207" t="e">
        <f>VLOOKUP(AC$2,Poule6,5,FALSE)</f>
        <v>#N/A</v>
      </c>
      <c r="AC44" s="208"/>
      <c r="AD44" s="208">
        <f t="shared" si="84"/>
        <v>0</v>
      </c>
      <c r="AE44" s="210"/>
      <c r="AF44" s="213" t="e">
        <f>VLOOKUP(AG$2,Poule6,5,FALSE)</f>
        <v>#N/A</v>
      </c>
      <c r="AG44" s="208"/>
      <c r="AH44" s="208">
        <f t="shared" si="85"/>
        <v>0</v>
      </c>
      <c r="AI44" s="210"/>
      <c r="AJ44" s="213" t="e">
        <f>VLOOKUP(AK$2,Poule6,5,FALSE)</f>
        <v>#N/A</v>
      </c>
      <c r="AK44" s="208"/>
      <c r="AL44" s="208">
        <f t="shared" si="86"/>
        <v>0</v>
      </c>
      <c r="AM44" s="210"/>
      <c r="AN44" s="213" t="e">
        <f>VLOOKUP(AO$2,Poule6,5,FALSE)</f>
        <v>#N/A</v>
      </c>
      <c r="AO44" s="208"/>
      <c r="AP44" s="208">
        <f t="shared" si="87"/>
        <v>0</v>
      </c>
      <c r="AQ44" s="210"/>
      <c r="AR44" s="209" t="e">
        <f>VLOOKUP(AS$2,Poule6,5,FALSE)</f>
        <v>#N/A</v>
      </c>
      <c r="AS44" s="208"/>
      <c r="AT44" s="208">
        <f t="shared" si="88"/>
        <v>0</v>
      </c>
      <c r="AU44" s="210"/>
      <c r="AV44" s="209" t="e">
        <f>VLOOKUP(AW$2,Poule6,5,FALSE)</f>
        <v>#N/A</v>
      </c>
      <c r="AW44" s="208"/>
      <c r="AX44" s="208">
        <f t="shared" si="89"/>
        <v>0</v>
      </c>
      <c r="AY44" s="210"/>
      <c r="AZ44" s="209" t="e">
        <f>VLOOKUP(BA$2,Poule6,5,FALSE)</f>
        <v>#N/A</v>
      </c>
      <c r="BA44" s="208"/>
      <c r="BB44" s="208">
        <f t="shared" si="90"/>
        <v>0</v>
      </c>
      <c r="BC44" s="210"/>
      <c r="BD44" s="209" t="e">
        <f>VLOOKUP(BE$2,Poule6,5,FALSE)</f>
        <v>#N/A</v>
      </c>
      <c r="BE44" s="208"/>
      <c r="BF44" s="208">
        <f t="shared" si="91"/>
        <v>0</v>
      </c>
      <c r="BG44" s="210"/>
      <c r="BH44" s="209" t="e">
        <f>VLOOKUP(BI$2,Poule6,5,FALSE)</f>
        <v>#N/A</v>
      </c>
      <c r="BI44" s="208"/>
      <c r="BJ44" s="208">
        <f t="shared" si="92"/>
        <v>0</v>
      </c>
      <c r="BK44" s="210"/>
      <c r="BL44" s="209" t="e">
        <f>VLOOKUP(BM$2,Poule6,5,FALSE)</f>
        <v>#N/A</v>
      </c>
      <c r="BM44" s="208"/>
      <c r="BN44" s="208">
        <f t="shared" si="93"/>
        <v>0</v>
      </c>
      <c r="BO44" s="210"/>
      <c r="BP44" s="209" t="e">
        <f>VLOOKUP(BQ$2,Poule6,5,FALSE)</f>
        <v>#N/A</v>
      </c>
      <c r="BQ44" s="208"/>
      <c r="BR44" s="208">
        <f t="shared" si="94"/>
        <v>0</v>
      </c>
      <c r="BS44" s="210"/>
      <c r="BT44" s="209" t="e">
        <f>VLOOKUP(BU$2,Poule6,5,FALSE)</f>
        <v>#N/A</v>
      </c>
      <c r="BU44" s="208"/>
      <c r="BV44" s="208">
        <f t="shared" si="95"/>
        <v>0</v>
      </c>
      <c r="BW44" s="210"/>
      <c r="BX44" s="209" t="e">
        <f>VLOOKUP(BY$2,Poule6,5,FALSE)</f>
        <v>#N/A</v>
      </c>
      <c r="BY44" s="208"/>
      <c r="BZ44" s="208">
        <f t="shared" si="96"/>
        <v>0</v>
      </c>
      <c r="CA44" s="210"/>
      <c r="CB44" s="209" t="e">
        <f>VLOOKUP(CC$2,Poule6,5,FALSE)</f>
        <v>#N/A</v>
      </c>
      <c r="CC44" s="208"/>
      <c r="CD44" s="208">
        <f t="shared" si="97"/>
        <v>0</v>
      </c>
      <c r="CE44" s="210"/>
      <c r="CF44" s="209" t="e">
        <f>VLOOKUP(CG$2,Poule6,5,FALSE)</f>
        <v>#N/A</v>
      </c>
      <c r="CG44" s="208"/>
      <c r="CH44" s="208">
        <f t="shared" si="98"/>
        <v>0</v>
      </c>
      <c r="CI44" s="210"/>
      <c r="CJ44" s="209" t="e">
        <f>VLOOKUP(CK$2,Poule6,5,FALSE)</f>
        <v>#N/A</v>
      </c>
      <c r="CK44" s="208"/>
      <c r="CL44" s="208">
        <f t="shared" si="99"/>
        <v>0</v>
      </c>
      <c r="CM44" s="210"/>
      <c r="CN44" s="245"/>
      <c r="CO44" s="246"/>
      <c r="CP44" s="246"/>
      <c r="CQ44" s="247"/>
      <c r="EM44" s="199">
        <v>42</v>
      </c>
      <c r="EP44" s="280">
        <v>1</v>
      </c>
      <c r="EQ44" s="280" t="str">
        <f>AC2</f>
        <v>HENWOOD PHILIPPE</v>
      </c>
      <c r="ER44" s="280">
        <f>AD9</f>
        <v>264</v>
      </c>
      <c r="ES44" s="280">
        <f>AD21</f>
        <v>53</v>
      </c>
      <c r="ET44" s="212">
        <f>AB47</f>
        <v>2</v>
      </c>
      <c r="EU44" s="248">
        <f>AB50</f>
        <v>27</v>
      </c>
      <c r="EV44" s="308">
        <f>AB49</f>
        <v>5.7142857142857144</v>
      </c>
      <c r="EW44" s="308"/>
      <c r="EX44" s="308"/>
      <c r="EY44" s="308">
        <f>AB48</f>
        <v>4.9811320754716979</v>
      </c>
      <c r="EZ44" s="280">
        <f>AB51</f>
        <v>0</v>
      </c>
      <c r="FB44" s="310">
        <f>AC47</f>
        <v>2.0768113207547172</v>
      </c>
      <c r="FL44" s="199"/>
      <c r="FQ44" s="280"/>
      <c r="FR44" s="280"/>
      <c r="FS44" s="280"/>
      <c r="FT44" s="280"/>
      <c r="FU44" s="280"/>
      <c r="FV44" s="280"/>
      <c r="FW44" s="280"/>
      <c r="FX44" s="280"/>
    </row>
    <row r="45" spans="1:180" ht="21.75" customHeight="1" x14ac:dyDescent="0.3">
      <c r="AA45" s="199"/>
      <c r="AB45" s="213"/>
      <c r="AC45" s="236" t="s">
        <v>151</v>
      </c>
      <c r="AD45" s="225">
        <f>MAX(AD39:AD44)</f>
        <v>27</v>
      </c>
      <c r="AE45" s="210"/>
      <c r="AF45" s="207"/>
      <c r="AG45" s="236" t="s">
        <v>151</v>
      </c>
      <c r="AH45" s="225">
        <f>MAX(AH39:AH44)</f>
        <v>22</v>
      </c>
      <c r="AI45" s="210"/>
      <c r="AJ45" s="207"/>
      <c r="AK45" s="236" t="s">
        <v>151</v>
      </c>
      <c r="AL45" s="225">
        <f>MAX(AL39:AL44)</f>
        <v>17</v>
      </c>
      <c r="AM45" s="210"/>
      <c r="AN45" s="207"/>
      <c r="AO45" s="236" t="s">
        <v>151</v>
      </c>
      <c r="AP45" s="225">
        <f>MAX(AP39:AP44)</f>
        <v>20</v>
      </c>
      <c r="AQ45" s="210"/>
      <c r="AR45" s="213"/>
      <c r="AS45" s="236" t="s">
        <v>151</v>
      </c>
      <c r="AT45" s="225">
        <f>MAX(AT39:AT44)</f>
        <v>19</v>
      </c>
      <c r="AU45" s="210"/>
      <c r="AV45" s="213"/>
      <c r="AW45" s="236" t="s">
        <v>151</v>
      </c>
      <c r="AX45" s="225">
        <f>MAX(AX39:AX44)</f>
        <v>0</v>
      </c>
      <c r="AY45" s="210"/>
      <c r="AZ45" s="213"/>
      <c r="BA45" s="236" t="s">
        <v>151</v>
      </c>
      <c r="BB45" s="225">
        <f>MAX(BB39:BB44)</f>
        <v>0</v>
      </c>
      <c r="BC45" s="210"/>
      <c r="BD45" s="213"/>
      <c r="BE45" s="236" t="s">
        <v>151</v>
      </c>
      <c r="BF45" s="225">
        <f>MAX(BF39:BF44)</f>
        <v>0</v>
      </c>
      <c r="BG45" s="210"/>
      <c r="BH45" s="213"/>
      <c r="BI45" s="236" t="s">
        <v>151</v>
      </c>
      <c r="BJ45" s="225">
        <f>MAX(BJ39:BJ44)</f>
        <v>0</v>
      </c>
      <c r="BK45" s="210"/>
      <c r="BL45" s="213"/>
      <c r="BM45" s="236" t="s">
        <v>151</v>
      </c>
      <c r="BN45" s="225">
        <f>MAX(BN39:BN44)</f>
        <v>0</v>
      </c>
      <c r="BO45" s="210"/>
      <c r="BP45" s="213"/>
      <c r="BQ45" s="236" t="s">
        <v>151</v>
      </c>
      <c r="BR45" s="225">
        <f>MAX(BR39:BR44)</f>
        <v>0</v>
      </c>
      <c r="BS45" s="210"/>
      <c r="BT45" s="213"/>
      <c r="BU45" s="236" t="s">
        <v>151</v>
      </c>
      <c r="BV45" s="225">
        <f>MAX(BV39:BV44)</f>
        <v>0</v>
      </c>
      <c r="BW45" s="210"/>
      <c r="BX45" s="213"/>
      <c r="BY45" s="236" t="s">
        <v>151</v>
      </c>
      <c r="BZ45" s="225">
        <f>MAX(BZ39:BZ44)</f>
        <v>0</v>
      </c>
      <c r="CA45" s="210"/>
      <c r="CB45" s="213"/>
      <c r="CC45" s="236" t="s">
        <v>151</v>
      </c>
      <c r="CD45" s="225">
        <f>MAX(CD39:CD44)</f>
        <v>0</v>
      </c>
      <c r="CE45" s="210"/>
      <c r="CF45" s="213"/>
      <c r="CG45" s="236" t="s">
        <v>151</v>
      </c>
      <c r="CH45" s="225">
        <f>MAX(CH39:CH44)</f>
        <v>0</v>
      </c>
      <c r="CI45" s="210"/>
      <c r="CJ45" s="213"/>
      <c r="CK45" s="236" t="s">
        <v>151</v>
      </c>
      <c r="CL45" s="225">
        <f>MAX(CL39:CL44)</f>
        <v>0</v>
      </c>
      <c r="CM45" s="210"/>
      <c r="CN45" s="245"/>
      <c r="CO45" s="246"/>
      <c r="CP45" s="246"/>
      <c r="CQ45" s="247"/>
      <c r="EM45" s="199">
        <v>43</v>
      </c>
      <c r="EP45" s="280">
        <v>2</v>
      </c>
      <c r="EQ45" s="280" t="str">
        <f>AG2</f>
        <v>CASTANER GEORGES</v>
      </c>
      <c r="ER45" s="280">
        <f>AH9</f>
        <v>246</v>
      </c>
      <c r="ES45" s="280">
        <f>AH21</f>
        <v>78</v>
      </c>
      <c r="ET45" s="248">
        <f>AF47</f>
        <v>4</v>
      </c>
      <c r="EU45" s="248">
        <f>AF50</f>
        <v>22</v>
      </c>
      <c r="EV45" s="308">
        <f>AF49</f>
        <v>3.3333333333333335</v>
      </c>
      <c r="EW45" s="308"/>
      <c r="EX45" s="308"/>
      <c r="EY45" s="308">
        <f>AF48</f>
        <v>3.1538461538461537</v>
      </c>
      <c r="EZ45" s="308">
        <f>AF51</f>
        <v>0</v>
      </c>
      <c r="FB45" s="310">
        <f>AG47</f>
        <v>4.0535384615384622</v>
      </c>
      <c r="FL45" s="199"/>
    </row>
    <row r="46" spans="1:180" ht="21" customHeight="1" x14ac:dyDescent="0.3">
      <c r="AA46" s="199"/>
      <c r="AB46" s="198"/>
      <c r="AC46" s="199"/>
      <c r="AD46" s="199"/>
      <c r="AE46" s="199"/>
      <c r="AF46" s="198"/>
      <c r="AG46" s="199"/>
      <c r="AH46" s="199"/>
      <c r="AI46" s="199"/>
      <c r="AJ46" s="198"/>
      <c r="AK46" s="199"/>
      <c r="AL46" s="199"/>
      <c r="AM46" s="199"/>
      <c r="AN46" s="198"/>
      <c r="AO46" s="199"/>
      <c r="AP46" s="199"/>
      <c r="AQ46" s="199"/>
      <c r="AR46" s="198"/>
      <c r="AS46" s="199"/>
      <c r="AT46" s="199"/>
      <c r="AU46" s="199"/>
      <c r="AV46" s="198"/>
      <c r="AW46" s="199"/>
      <c r="AX46" s="199"/>
      <c r="AY46" s="199"/>
      <c r="AZ46" s="198"/>
      <c r="BA46" s="199"/>
      <c r="BB46" s="199"/>
      <c r="BC46" s="199"/>
      <c r="BD46" s="198"/>
      <c r="BE46" s="199"/>
      <c r="BF46" s="199"/>
      <c r="BG46" s="199"/>
      <c r="BH46" s="198"/>
      <c r="BI46" s="199"/>
      <c r="BJ46" s="199"/>
      <c r="BK46" s="199"/>
      <c r="BL46" s="198"/>
      <c r="BM46" s="199"/>
      <c r="BN46" s="199"/>
      <c r="BO46" s="197"/>
      <c r="BP46" s="198"/>
      <c r="BQ46" s="199"/>
      <c r="BR46" s="199"/>
      <c r="BS46" s="197"/>
      <c r="BT46" s="198"/>
      <c r="BU46" s="199"/>
      <c r="BV46" s="199"/>
      <c r="BW46" s="199"/>
      <c r="BX46" s="198"/>
      <c r="BY46" s="199"/>
      <c r="BZ46" s="199"/>
      <c r="CA46" s="197"/>
      <c r="CB46" s="198"/>
      <c r="CC46" s="199"/>
      <c r="CD46" s="199"/>
      <c r="CE46" s="197"/>
      <c r="CF46" s="198"/>
      <c r="CG46" s="199"/>
      <c r="CH46" s="199"/>
      <c r="CI46" s="197"/>
      <c r="CJ46" s="198"/>
      <c r="CK46" s="199"/>
      <c r="CL46" s="199"/>
      <c r="CM46" s="197"/>
      <c r="CN46" s="245"/>
      <c r="CO46" s="246"/>
      <c r="CP46" s="246"/>
      <c r="CQ46" s="247"/>
      <c r="EM46" s="199">
        <v>44</v>
      </c>
      <c r="EP46" s="280">
        <v>3</v>
      </c>
      <c r="EQ46" s="280" t="str">
        <f>AK2</f>
        <v>CREDOT GERALD</v>
      </c>
      <c r="ER46" s="280">
        <f>AL9</f>
        <v>320</v>
      </c>
      <c r="ES46" s="280">
        <f>AL21</f>
        <v>86</v>
      </c>
      <c r="ET46" s="212">
        <f>AJ47</f>
        <v>7</v>
      </c>
      <c r="EU46" s="248">
        <f>AJ50</f>
        <v>17</v>
      </c>
      <c r="EV46" s="308">
        <f>AJ49</f>
        <v>4</v>
      </c>
      <c r="EW46" s="308"/>
      <c r="EX46" s="308"/>
      <c r="EY46" s="308">
        <f>AJ48</f>
        <v>3.7209302325581395</v>
      </c>
      <c r="EZ46" s="280">
        <f>AJ51</f>
        <v>0</v>
      </c>
      <c r="FB46" s="310">
        <f>AK47</f>
        <v>7.0542093023255816</v>
      </c>
      <c r="FL46" s="199"/>
    </row>
    <row r="47" spans="1:180" ht="18.75" customHeight="1" x14ac:dyDescent="0.3">
      <c r="O47" s="311"/>
      <c r="AA47" s="199" t="s">
        <v>152</v>
      </c>
      <c r="AB47" s="198">
        <f>AD29</f>
        <v>2</v>
      </c>
      <c r="AC47" s="249">
        <f>AB47+(AB48/100)+(AB50/1000)</f>
        <v>2.0768113207547172</v>
      </c>
      <c r="AD47" s="199"/>
      <c r="AE47" s="199"/>
      <c r="AF47" s="198">
        <f>AH29</f>
        <v>4</v>
      </c>
      <c r="AG47" s="249">
        <f>AF47+(AF48/100)+(AF50/1000)</f>
        <v>4.0535384615384622</v>
      </c>
      <c r="AH47" s="199"/>
      <c r="AI47" s="199"/>
      <c r="AJ47" s="198">
        <f>AL29</f>
        <v>7</v>
      </c>
      <c r="AK47" s="249">
        <f>AJ47+(AJ48/100)+(AJ50/1000)</f>
        <v>7.0542093023255816</v>
      </c>
      <c r="AL47" s="199"/>
      <c r="AM47" s="199"/>
      <c r="AN47" s="198">
        <f>AP29</f>
        <v>0</v>
      </c>
      <c r="AO47" s="249">
        <f>AN47+(AN48/100)+(AN50/1000)</f>
        <v>4.6097560975609755E-2</v>
      </c>
      <c r="AP47" s="199"/>
      <c r="AQ47" s="199"/>
      <c r="AR47" s="198">
        <f>AT29</f>
        <v>3</v>
      </c>
      <c r="AS47" s="249">
        <f>AR47+(AR48/100)+(AR50/1000)</f>
        <v>3.0540684931506852</v>
      </c>
      <c r="AT47" s="199"/>
      <c r="AU47" s="199"/>
      <c r="AV47" s="198">
        <f>AX29</f>
        <v>0</v>
      </c>
      <c r="AW47" s="249">
        <f>AV47+(AV48/100)+(AV50/1000)</f>
        <v>0</v>
      </c>
      <c r="AX47" s="199"/>
      <c r="AY47" s="199"/>
      <c r="AZ47" s="198">
        <f>BB29</f>
        <v>0</v>
      </c>
      <c r="BA47" s="249">
        <f>AZ47+(AZ48/100)+(AZ50/1000)</f>
        <v>0</v>
      </c>
      <c r="BB47" s="199"/>
      <c r="BC47" s="199"/>
      <c r="BD47" s="198">
        <f>BF29</f>
        <v>0</v>
      </c>
      <c r="BE47" s="249" t="e">
        <f>BD47+(BD48/100)+(BD50/1000)</f>
        <v>#DIV/0!</v>
      </c>
      <c r="BF47" s="199"/>
      <c r="BG47" s="199"/>
      <c r="BH47" s="198">
        <f>BJ29</f>
        <v>0</v>
      </c>
      <c r="BI47" s="249" t="e">
        <f>BH47+(BH48/100)+(BH50/1000)</f>
        <v>#DIV/0!</v>
      </c>
      <c r="BJ47" s="199"/>
      <c r="BK47" s="199"/>
      <c r="BL47" s="198">
        <f>BN29</f>
        <v>0</v>
      </c>
      <c r="BM47" s="249" t="e">
        <f>BL47+(BL48/100)+(BL50/1000)</f>
        <v>#DIV/0!</v>
      </c>
      <c r="BN47" s="199"/>
      <c r="BO47" s="197"/>
      <c r="BP47" s="198">
        <f>BR29</f>
        <v>0</v>
      </c>
      <c r="BQ47" s="249" t="e">
        <f>BP47+(BP48/100)+(BP50/1000)</f>
        <v>#DIV/0!</v>
      </c>
      <c r="BR47" s="199"/>
      <c r="BS47" s="197"/>
      <c r="BT47" s="198">
        <f>BV29</f>
        <v>0</v>
      </c>
      <c r="BU47" s="249" t="e">
        <f>BT47+(BT48/100)+(BT50/1000)</f>
        <v>#DIV/0!</v>
      </c>
      <c r="BV47" s="199"/>
      <c r="BW47" s="199"/>
      <c r="BX47" s="198">
        <f>BZ29</f>
        <v>0</v>
      </c>
      <c r="BY47" s="249" t="e">
        <f>BX47+(BX48/100)+(BX50/1000)</f>
        <v>#DIV/0!</v>
      </c>
      <c r="BZ47" s="199"/>
      <c r="CA47" s="197"/>
      <c r="CB47" s="198">
        <f>CD29</f>
        <v>0</v>
      </c>
      <c r="CC47" s="249" t="e">
        <f>CB47+(CB48/100)+(CB50/1000)</f>
        <v>#DIV/0!</v>
      </c>
      <c r="CD47" s="199"/>
      <c r="CE47" s="197"/>
      <c r="CF47" s="198">
        <f>CH29</f>
        <v>0</v>
      </c>
      <c r="CG47" s="249" t="e">
        <f>CF47+(CF48/100)+(CF50/1000)</f>
        <v>#DIV/0!</v>
      </c>
      <c r="CH47" s="199"/>
      <c r="CI47" s="197"/>
      <c r="CJ47" s="198">
        <f>CL29</f>
        <v>0</v>
      </c>
      <c r="CK47" s="249" t="e">
        <f>CJ47+(CJ48/100)+(CJ50/1000)</f>
        <v>#DIV/0!</v>
      </c>
      <c r="CL47" s="199"/>
      <c r="CM47" s="197"/>
      <c r="CN47" s="245"/>
      <c r="CO47" s="246"/>
      <c r="CP47" s="246"/>
      <c r="CQ47" s="247"/>
      <c r="EM47" s="199">
        <v>45</v>
      </c>
      <c r="EP47" s="280">
        <v>4</v>
      </c>
      <c r="EQ47" s="280" t="str">
        <f>AO2</f>
        <v>BLANCHARD THIERRY</v>
      </c>
      <c r="ER47" s="280">
        <f>AP9</f>
        <v>214</v>
      </c>
      <c r="ES47" s="280">
        <f>AP21</f>
        <v>82</v>
      </c>
      <c r="ET47" s="212">
        <f>AN47</f>
        <v>0</v>
      </c>
      <c r="EU47" s="248">
        <f>AN50</f>
        <v>20</v>
      </c>
      <c r="EV47" s="308">
        <f>AN49</f>
        <v>0</v>
      </c>
      <c r="EW47" s="308"/>
      <c r="EX47" s="308"/>
      <c r="EY47" s="308">
        <f>AN48</f>
        <v>2.6097560975609757</v>
      </c>
      <c r="EZ47" s="280">
        <f>AN51</f>
        <v>0</v>
      </c>
      <c r="FB47" s="310">
        <f>AO47</f>
        <v>4.6097560975609755E-2</v>
      </c>
      <c r="FL47" s="199"/>
    </row>
    <row r="48" spans="1:180" ht="18.75" customHeight="1" x14ac:dyDescent="0.3">
      <c r="O48" s="311"/>
      <c r="AA48" s="199" t="s">
        <v>153</v>
      </c>
      <c r="AB48" s="250">
        <f>AD13</f>
        <v>4.9811320754716979</v>
      </c>
      <c r="AC48" s="199"/>
      <c r="AD48" s="199"/>
      <c r="AE48" s="199"/>
      <c r="AF48" s="250">
        <f>AH13</f>
        <v>3.1538461538461537</v>
      </c>
      <c r="AG48" s="199"/>
      <c r="AH48" s="199"/>
      <c r="AI48" s="199"/>
      <c r="AJ48" s="250">
        <f>AL13</f>
        <v>3.7209302325581395</v>
      </c>
      <c r="AK48" s="199"/>
      <c r="AL48" s="199"/>
      <c r="AM48" s="199"/>
      <c r="AN48" s="250">
        <f>AP13</f>
        <v>2.6097560975609757</v>
      </c>
      <c r="AO48" s="199"/>
      <c r="AP48" s="199"/>
      <c r="AQ48" s="199"/>
      <c r="AR48" s="250">
        <f>AT13</f>
        <v>3.506849315068493</v>
      </c>
      <c r="AS48" s="199"/>
      <c r="AT48" s="199"/>
      <c r="AU48" s="199"/>
      <c r="AV48" s="250">
        <f>AX13</f>
        <v>0</v>
      </c>
      <c r="AW48" s="199"/>
      <c r="AX48" s="199"/>
      <c r="AY48" s="199"/>
      <c r="AZ48" s="250">
        <f>BB13</f>
        <v>0</v>
      </c>
      <c r="BA48" s="199"/>
      <c r="BB48" s="199"/>
      <c r="BC48" s="199"/>
      <c r="BD48" s="250" t="e">
        <f>BF13</f>
        <v>#DIV/0!</v>
      </c>
      <c r="BE48" s="199"/>
      <c r="BF48" s="199"/>
      <c r="BG48" s="199"/>
      <c r="BH48" s="250" t="e">
        <f>BJ13</f>
        <v>#DIV/0!</v>
      </c>
      <c r="BI48" s="199"/>
      <c r="BJ48" s="199"/>
      <c r="BK48" s="199"/>
      <c r="BL48" s="250" t="e">
        <f>BN13</f>
        <v>#DIV/0!</v>
      </c>
      <c r="BM48" s="199"/>
      <c r="BN48" s="199"/>
      <c r="BO48" s="197"/>
      <c r="BP48" s="250" t="e">
        <f>BR13</f>
        <v>#DIV/0!</v>
      </c>
      <c r="BQ48" s="199"/>
      <c r="BR48" s="199"/>
      <c r="BS48" s="197"/>
      <c r="BT48" s="250" t="e">
        <f>BV13</f>
        <v>#DIV/0!</v>
      </c>
      <c r="BU48" s="199"/>
      <c r="BV48" s="199"/>
      <c r="BW48" s="199"/>
      <c r="BX48" s="250" t="e">
        <f>BZ13</f>
        <v>#DIV/0!</v>
      </c>
      <c r="BY48" s="199"/>
      <c r="BZ48" s="199"/>
      <c r="CA48" s="197"/>
      <c r="CB48" s="250" t="e">
        <f>CD13</f>
        <v>#DIV/0!</v>
      </c>
      <c r="CC48" s="199"/>
      <c r="CD48" s="199"/>
      <c r="CE48" s="197"/>
      <c r="CF48" s="250" t="e">
        <f>CH13</f>
        <v>#DIV/0!</v>
      </c>
      <c r="CG48" s="199"/>
      <c r="CH48" s="199"/>
      <c r="CI48" s="197"/>
      <c r="CJ48" s="250" t="e">
        <f>CL13</f>
        <v>#DIV/0!</v>
      </c>
      <c r="CK48" s="199"/>
      <c r="CL48" s="199"/>
      <c r="CM48" s="197"/>
      <c r="CN48" s="245"/>
      <c r="CO48" s="246"/>
      <c r="CP48" s="246"/>
      <c r="CQ48" s="247"/>
      <c r="EM48" s="199">
        <v>46</v>
      </c>
      <c r="EP48" s="280">
        <v>5</v>
      </c>
      <c r="EQ48" s="280" t="str">
        <f>AS2</f>
        <v>LACHOQUE DANIEL</v>
      </c>
      <c r="ER48" s="280">
        <f>AT9</f>
        <v>256</v>
      </c>
      <c r="ES48" s="280">
        <f>AT21</f>
        <v>73</v>
      </c>
      <c r="ET48" s="212">
        <f>AR47</f>
        <v>3</v>
      </c>
      <c r="EU48" s="248">
        <f>AR50</f>
        <v>19</v>
      </c>
      <c r="EV48" s="308">
        <f>AR49</f>
        <v>8.8888888888888893</v>
      </c>
      <c r="EW48" s="308"/>
      <c r="EX48" s="308"/>
      <c r="EY48" s="308">
        <f>AR48</f>
        <v>3.506849315068493</v>
      </c>
      <c r="EZ48" s="310">
        <f>AR51</f>
        <v>0</v>
      </c>
      <c r="FB48" s="310">
        <f>AS47</f>
        <v>3.0540684931506852</v>
      </c>
    </row>
    <row r="49" spans="12:158" ht="21" customHeight="1" x14ac:dyDescent="0.3">
      <c r="O49" s="302"/>
      <c r="P49" s="227"/>
      <c r="Q49" s="228"/>
      <c r="R49" s="228"/>
      <c r="S49" s="228"/>
      <c r="T49" s="230"/>
      <c r="U49" s="251"/>
      <c r="V49" s="252"/>
      <c r="W49" s="252"/>
      <c r="X49" s="253"/>
      <c r="Y49" s="254"/>
      <c r="AA49" s="199" t="s">
        <v>154</v>
      </c>
      <c r="AB49" s="250">
        <f>AD37</f>
        <v>5.7142857142857144</v>
      </c>
      <c r="AC49" s="199"/>
      <c r="AD49" s="199"/>
      <c r="AE49" s="199"/>
      <c r="AF49" s="250">
        <f>AH37</f>
        <v>3.3333333333333335</v>
      </c>
      <c r="AG49" s="199"/>
      <c r="AH49" s="199"/>
      <c r="AI49" s="199"/>
      <c r="AJ49" s="250">
        <f>AL37</f>
        <v>4</v>
      </c>
      <c r="AK49" s="199"/>
      <c r="AL49" s="199"/>
      <c r="AM49" s="199"/>
      <c r="AN49" s="250">
        <f>AP37</f>
        <v>0</v>
      </c>
      <c r="AO49" s="199"/>
      <c r="AP49" s="199"/>
      <c r="AQ49" s="199"/>
      <c r="AR49" s="250">
        <f>AT37</f>
        <v>8.8888888888888893</v>
      </c>
      <c r="AS49" s="199"/>
      <c r="AT49" s="199"/>
      <c r="AU49" s="199"/>
      <c r="AV49" s="250">
        <f>AX37</f>
        <v>0</v>
      </c>
      <c r="AW49" s="199"/>
      <c r="AX49" s="199"/>
      <c r="AY49" s="199"/>
      <c r="AZ49" s="250">
        <f>BB37</f>
        <v>0</v>
      </c>
      <c r="BA49" s="199"/>
      <c r="BB49" s="199"/>
      <c r="BC49" s="199"/>
      <c r="BD49" s="250">
        <f>BF37</f>
        <v>0</v>
      </c>
      <c r="BE49" s="199"/>
      <c r="BF49" s="199"/>
      <c r="BG49" s="199"/>
      <c r="BH49" s="250">
        <f>BJ37</f>
        <v>0</v>
      </c>
      <c r="BI49" s="199"/>
      <c r="BJ49" s="199"/>
      <c r="BK49" s="199"/>
      <c r="BL49" s="250">
        <f>BN37</f>
        <v>0</v>
      </c>
      <c r="BM49" s="199"/>
      <c r="BN49" s="199"/>
      <c r="BO49" s="197"/>
      <c r="BP49" s="250">
        <f>BR37</f>
        <v>0</v>
      </c>
      <c r="BQ49" s="199"/>
      <c r="BR49" s="199"/>
      <c r="BS49" s="197"/>
      <c r="BT49" s="250">
        <f>BV37</f>
        <v>0</v>
      </c>
      <c r="BU49" s="199"/>
      <c r="BV49" s="199"/>
      <c r="BW49" s="199"/>
      <c r="BX49" s="250">
        <f>BZ37</f>
        <v>0</v>
      </c>
      <c r="BY49" s="199"/>
      <c r="BZ49" s="199"/>
      <c r="CA49" s="197"/>
      <c r="CB49" s="250">
        <f>CD37</f>
        <v>0</v>
      </c>
      <c r="CC49" s="199"/>
      <c r="CD49" s="199"/>
      <c r="CE49" s="197"/>
      <c r="CF49" s="250">
        <f>CH37</f>
        <v>0</v>
      </c>
      <c r="CG49" s="199"/>
      <c r="CH49" s="199"/>
      <c r="CI49" s="197"/>
      <c r="CJ49" s="250">
        <f>CL37</f>
        <v>0</v>
      </c>
      <c r="CK49" s="199"/>
      <c r="CL49" s="199"/>
      <c r="CM49" s="197"/>
      <c r="CN49" s="245"/>
      <c r="CO49" s="246"/>
      <c r="CP49" s="246"/>
      <c r="CQ49" s="247"/>
      <c r="EM49" s="199">
        <v>47</v>
      </c>
      <c r="EP49" s="280">
        <v>6</v>
      </c>
      <c r="EQ49" s="280" t="e">
        <f>AW2</f>
        <v>#N/A</v>
      </c>
      <c r="ER49" s="280">
        <f>AX9</f>
        <v>0</v>
      </c>
      <c r="ES49" s="280">
        <f>AX21</f>
        <v>0</v>
      </c>
      <c r="ET49" s="212">
        <f>AV47</f>
        <v>0</v>
      </c>
      <c r="EU49" s="248">
        <f>AV50</f>
        <v>0</v>
      </c>
      <c r="EV49" s="308">
        <f>AV49</f>
        <v>0</v>
      </c>
      <c r="EW49" s="308"/>
      <c r="EX49" s="308"/>
      <c r="EY49" s="308">
        <f>AV48</f>
        <v>0</v>
      </c>
      <c r="EZ49" s="310">
        <f>AV51</f>
        <v>0</v>
      </c>
      <c r="FB49" s="310">
        <f>AW47</f>
        <v>0</v>
      </c>
    </row>
    <row r="50" spans="12:158" ht="21.75" customHeight="1" x14ac:dyDescent="0.3">
      <c r="O50" s="302"/>
      <c r="P50" s="227"/>
      <c r="Q50" s="228"/>
      <c r="R50" s="227"/>
      <c r="S50" s="228"/>
      <c r="T50" s="230"/>
      <c r="U50" s="231"/>
      <c r="V50" s="252"/>
      <c r="W50" s="252"/>
      <c r="X50" s="253"/>
      <c r="Y50" s="254"/>
      <c r="AA50" s="199" t="s">
        <v>151</v>
      </c>
      <c r="AB50" s="250">
        <f>AD45</f>
        <v>27</v>
      </c>
      <c r="AC50" s="199"/>
      <c r="AD50" s="199"/>
      <c r="AE50" s="199"/>
      <c r="AF50" s="250">
        <f>AH45</f>
        <v>22</v>
      </c>
      <c r="AG50" s="199"/>
      <c r="AH50" s="199"/>
      <c r="AI50" s="199"/>
      <c r="AJ50" s="250">
        <f>AL45</f>
        <v>17</v>
      </c>
      <c r="AK50" s="199"/>
      <c r="AL50" s="199"/>
      <c r="AM50" s="199"/>
      <c r="AN50" s="250">
        <f>AP45</f>
        <v>20</v>
      </c>
      <c r="AO50" s="199"/>
      <c r="AP50" s="199"/>
      <c r="AQ50" s="199"/>
      <c r="AR50" s="250">
        <f>AT45</f>
        <v>19</v>
      </c>
      <c r="AS50" s="199"/>
      <c r="AT50" s="199"/>
      <c r="AU50" s="199"/>
      <c r="AV50" s="250">
        <f>AX45</f>
        <v>0</v>
      </c>
      <c r="AW50" s="199"/>
      <c r="AX50" s="199"/>
      <c r="AY50" s="199"/>
      <c r="AZ50" s="250">
        <f>BB45</f>
        <v>0</v>
      </c>
      <c r="BA50" s="199"/>
      <c r="BB50" s="199"/>
      <c r="BC50" s="199"/>
      <c r="BD50" s="250">
        <f>BF45</f>
        <v>0</v>
      </c>
      <c r="BE50" s="199"/>
      <c r="BF50" s="199"/>
      <c r="BG50" s="199"/>
      <c r="BH50" s="250">
        <f>BJ45</f>
        <v>0</v>
      </c>
      <c r="BI50" s="199"/>
      <c r="BJ50" s="199"/>
      <c r="BK50" s="199"/>
      <c r="BL50" s="250">
        <f>BN45</f>
        <v>0</v>
      </c>
      <c r="BM50" s="199"/>
      <c r="BN50" s="199"/>
      <c r="BO50" s="197"/>
      <c r="BP50" s="250">
        <f>BR45</f>
        <v>0</v>
      </c>
      <c r="BQ50" s="199"/>
      <c r="BR50" s="199"/>
      <c r="BS50" s="197"/>
      <c r="BT50" s="250">
        <f>BV45</f>
        <v>0</v>
      </c>
      <c r="BU50" s="199"/>
      <c r="BV50" s="199"/>
      <c r="BW50" s="199"/>
      <c r="BX50" s="250">
        <f>BZ45</f>
        <v>0</v>
      </c>
      <c r="BY50" s="199"/>
      <c r="BZ50" s="199"/>
      <c r="CA50" s="197"/>
      <c r="CB50" s="250">
        <f>CD45</f>
        <v>0</v>
      </c>
      <c r="CC50" s="199"/>
      <c r="CD50" s="199"/>
      <c r="CE50" s="197"/>
      <c r="CF50" s="250">
        <f>CH45</f>
        <v>0</v>
      </c>
      <c r="CG50" s="199"/>
      <c r="CH50" s="199"/>
      <c r="CI50" s="197"/>
      <c r="CJ50" s="250">
        <f>CL45</f>
        <v>0</v>
      </c>
      <c r="CK50" s="199"/>
      <c r="CL50" s="199"/>
      <c r="CM50" s="197"/>
      <c r="CN50" s="245"/>
      <c r="CO50" s="246"/>
      <c r="CP50" s="246"/>
      <c r="CQ50" s="247"/>
      <c r="EP50" s="280">
        <v>7</v>
      </c>
      <c r="EQ50" s="280" t="e">
        <f>BA2</f>
        <v>#N/A</v>
      </c>
      <c r="ER50" s="308">
        <f>BB9</f>
        <v>0</v>
      </c>
      <c r="ES50" s="305">
        <f>BB21</f>
        <v>0</v>
      </c>
      <c r="ET50" s="280">
        <f>AZ47</f>
        <v>0</v>
      </c>
      <c r="EU50" s="212">
        <f>AZ50</f>
        <v>0</v>
      </c>
      <c r="EV50" s="308">
        <f>AZ49</f>
        <v>0</v>
      </c>
      <c r="EW50" s="308"/>
      <c r="EX50" s="308"/>
      <c r="EY50" s="308">
        <f>AZ48</f>
        <v>0</v>
      </c>
      <c r="EZ50" s="280">
        <f>AZ51</f>
        <v>0</v>
      </c>
      <c r="FB50" s="310">
        <f>BA47</f>
        <v>0</v>
      </c>
    </row>
    <row r="51" spans="12:158" ht="18.75" customHeight="1" x14ac:dyDescent="0.3">
      <c r="O51" s="311"/>
      <c r="AA51" s="199"/>
      <c r="AB51" s="198"/>
      <c r="AC51" s="199"/>
      <c r="AD51" s="199"/>
      <c r="AE51" s="199"/>
      <c r="AF51" s="198"/>
      <c r="AG51" s="199"/>
      <c r="AH51" s="199"/>
      <c r="AI51" s="199"/>
      <c r="AJ51" s="198"/>
      <c r="AK51" s="199"/>
      <c r="AL51" s="199"/>
      <c r="AM51" s="199"/>
      <c r="AN51" s="198"/>
      <c r="AO51" s="199"/>
      <c r="AP51" s="199"/>
      <c r="AQ51" s="199"/>
      <c r="AR51" s="198"/>
      <c r="AS51" s="199"/>
      <c r="AT51" s="199"/>
      <c r="AU51" s="199"/>
      <c r="AV51" s="198"/>
      <c r="AW51" s="199"/>
      <c r="AX51" s="199"/>
      <c r="AY51" s="199"/>
      <c r="AZ51" s="198"/>
      <c r="BA51" s="199"/>
      <c r="BB51" s="199"/>
      <c r="BC51" s="199"/>
      <c r="BD51" s="198"/>
      <c r="BE51" s="199"/>
      <c r="BF51" s="199"/>
      <c r="BG51" s="199"/>
      <c r="BH51" s="198"/>
      <c r="BI51" s="199"/>
      <c r="BJ51" s="199"/>
      <c r="BK51" s="199"/>
      <c r="BL51" s="198"/>
      <c r="BM51" s="199"/>
      <c r="BN51" s="199"/>
      <c r="BO51" s="197"/>
      <c r="BP51" s="198"/>
      <c r="BQ51" s="199"/>
      <c r="BR51" s="199"/>
      <c r="BS51" s="197"/>
      <c r="BT51" s="198"/>
      <c r="BU51" s="199"/>
      <c r="BV51" s="199"/>
      <c r="BW51" s="199"/>
      <c r="BX51" s="198"/>
      <c r="BY51" s="199"/>
      <c r="BZ51" s="199"/>
      <c r="CA51" s="197"/>
      <c r="CB51" s="198"/>
      <c r="CC51" s="199"/>
      <c r="CD51" s="199"/>
      <c r="CE51" s="197"/>
      <c r="CF51" s="198"/>
      <c r="CG51" s="199"/>
      <c r="CH51" s="199"/>
      <c r="CI51" s="197"/>
      <c r="CJ51" s="198"/>
      <c r="CK51" s="199"/>
      <c r="CL51" s="199"/>
      <c r="CM51" s="197"/>
      <c r="CN51" s="245"/>
      <c r="CO51" s="246"/>
      <c r="CP51" s="246"/>
      <c r="CQ51" s="247"/>
      <c r="EP51" s="280">
        <v>8</v>
      </c>
      <c r="EQ51" s="280" t="e">
        <f>BE2</f>
        <v>#N/A</v>
      </c>
      <c r="ER51" s="305">
        <f>BF9</f>
        <v>0</v>
      </c>
      <c r="ES51" s="305">
        <f>BF21</f>
        <v>0</v>
      </c>
      <c r="ET51" s="212">
        <f>BD47</f>
        <v>0</v>
      </c>
      <c r="EU51" s="248">
        <f>BD50</f>
        <v>0</v>
      </c>
      <c r="EV51" s="308">
        <f>BD49</f>
        <v>0</v>
      </c>
      <c r="EW51" s="308"/>
      <c r="EX51" s="308"/>
      <c r="EY51" s="308" t="e">
        <f>BD48</f>
        <v>#DIV/0!</v>
      </c>
      <c r="EZ51" s="310">
        <f>BD51</f>
        <v>0</v>
      </c>
      <c r="FB51" s="310" t="e">
        <f>BE47</f>
        <v>#DIV/0!</v>
      </c>
    </row>
    <row r="52" spans="12:158" ht="18.75" customHeight="1" x14ac:dyDescent="0.3">
      <c r="O52" s="311"/>
      <c r="AA52" s="199"/>
      <c r="AB52" s="198"/>
      <c r="AC52" s="199"/>
      <c r="AD52" s="199"/>
      <c r="AE52" s="199"/>
      <c r="AF52" s="198"/>
      <c r="AG52" s="199"/>
      <c r="AH52" s="199"/>
      <c r="AI52" s="199"/>
      <c r="AJ52" s="198"/>
      <c r="AK52" s="199"/>
      <c r="AL52" s="199"/>
      <c r="AM52" s="199"/>
      <c r="AN52" s="198"/>
      <c r="AO52" s="199"/>
      <c r="AP52" s="199"/>
      <c r="AQ52" s="199"/>
      <c r="AR52" s="198"/>
      <c r="AS52" s="199"/>
      <c r="AT52" s="199"/>
      <c r="AU52" s="199"/>
      <c r="AV52" s="198"/>
      <c r="AW52" s="199"/>
      <c r="AX52" s="199"/>
      <c r="AY52" s="199"/>
      <c r="AZ52" s="198"/>
      <c r="BA52" s="199"/>
      <c r="BB52" s="199"/>
      <c r="BC52" s="199"/>
      <c r="BD52" s="198"/>
      <c r="BE52" s="199"/>
      <c r="BF52" s="199"/>
      <c r="BG52" s="199"/>
      <c r="BH52" s="198"/>
      <c r="BI52" s="199"/>
      <c r="BJ52" s="199"/>
      <c r="BK52" s="199"/>
      <c r="BL52" s="198"/>
      <c r="BM52" s="199"/>
      <c r="BN52" s="199"/>
      <c r="BO52" s="197"/>
      <c r="BP52" s="198"/>
      <c r="BQ52" s="199"/>
      <c r="BR52" s="199"/>
      <c r="BS52" s="197"/>
      <c r="BT52" s="198"/>
      <c r="BU52" s="199"/>
      <c r="BV52" s="199"/>
      <c r="BW52" s="199"/>
      <c r="BX52" s="198"/>
      <c r="BY52" s="199"/>
      <c r="BZ52" s="199"/>
      <c r="CA52" s="197"/>
      <c r="CB52" s="198"/>
      <c r="CC52" s="199"/>
      <c r="CD52" s="199"/>
      <c r="CE52" s="197"/>
      <c r="CF52" s="198"/>
      <c r="CG52" s="199"/>
      <c r="CH52" s="199"/>
      <c r="CI52" s="197"/>
      <c r="CJ52" s="198"/>
      <c r="CK52" s="199"/>
      <c r="CL52" s="199"/>
      <c r="CM52" s="197"/>
      <c r="CN52" s="245"/>
      <c r="CO52" s="246"/>
      <c r="CP52" s="246"/>
      <c r="CQ52" s="247"/>
    </row>
    <row r="53" spans="12:158" ht="21" customHeight="1" x14ac:dyDescent="0.3">
      <c r="O53" s="302"/>
      <c r="P53" s="227"/>
      <c r="Q53" s="228"/>
      <c r="R53" s="228"/>
      <c r="S53" s="228"/>
      <c r="T53" s="230"/>
      <c r="U53" s="251"/>
      <c r="V53" s="252"/>
      <c r="W53" s="252"/>
      <c r="X53" s="253"/>
      <c r="Y53" s="254"/>
      <c r="AA53" s="197" t="s">
        <v>155</v>
      </c>
      <c r="AB53" s="255" t="e">
        <f>VLOOKUP(AC$2,$O$23:$Y$24,3,FALSE)</f>
        <v>#N/A</v>
      </c>
      <c r="AC53" s="256"/>
      <c r="AD53" s="256">
        <f>IF(ISERROR(AB53),0,AB53)</f>
        <v>0</v>
      </c>
      <c r="AE53" s="257">
        <f>AE54*AD53</f>
        <v>0</v>
      </c>
      <c r="AF53" s="255" t="e">
        <f>VLOOKUP(AG$2,$O$23:$Y$24,3,FALSE)</f>
        <v>#N/A</v>
      </c>
      <c r="AG53" s="256"/>
      <c r="AH53" s="256">
        <f>IF(ISERROR(AF53),0,AF53)</f>
        <v>0</v>
      </c>
      <c r="AI53" s="257">
        <f>AI54*AH53</f>
        <v>0</v>
      </c>
      <c r="AJ53" s="255" t="e">
        <f>VLOOKUP(AK$2,$O$23:$Y$24,3,FALSE)</f>
        <v>#N/A</v>
      </c>
      <c r="AK53" s="256"/>
      <c r="AL53" s="256">
        <f>IF(ISERROR(AJ53),0,AJ53)</f>
        <v>0</v>
      </c>
      <c r="AM53" s="257">
        <f>AM54*AL53</f>
        <v>0</v>
      </c>
      <c r="AN53" s="255" t="e">
        <f>VLOOKUP(AO$2,$O$23:$Y$24,3,FALSE)</f>
        <v>#N/A</v>
      </c>
      <c r="AO53" s="256"/>
      <c r="AP53" s="256">
        <f>IF(ISERROR(AN53),0,AN53)</f>
        <v>0</v>
      </c>
      <c r="AQ53" s="257">
        <f>AQ54*AP53</f>
        <v>0</v>
      </c>
      <c r="AR53" s="255" t="e">
        <f>VLOOKUP(AS$2,$O$23:$Y$24,3,FALSE)</f>
        <v>#N/A</v>
      </c>
      <c r="AS53" s="256"/>
      <c r="AT53" s="256">
        <f>IF(ISERROR(AR53),0,AR53)</f>
        <v>0</v>
      </c>
      <c r="AU53" s="257">
        <f>AU54*AT53</f>
        <v>0</v>
      </c>
      <c r="AV53" s="255" t="e">
        <f>VLOOKUP(AW$2,$O$23:$Y$24,3,FALSE)</f>
        <v>#N/A</v>
      </c>
      <c r="AW53" s="256"/>
      <c r="AX53" s="256">
        <f>IF(ISERROR(AV53),0,AV53)</f>
        <v>0</v>
      </c>
      <c r="AY53" s="257">
        <f>AY54*AX53</f>
        <v>0</v>
      </c>
      <c r="AZ53" s="255" t="e">
        <f>VLOOKUP(BA$2,$O$23:$Y$24,3,FALSE)</f>
        <v>#N/A</v>
      </c>
      <c r="BA53" s="256"/>
      <c r="BB53" s="256">
        <f>IF(ISERROR(AZ53),0,AZ53)</f>
        <v>0</v>
      </c>
      <c r="BC53" s="257">
        <f>BC54*BB53</f>
        <v>0</v>
      </c>
      <c r="BD53" s="255" t="e">
        <f>VLOOKUP(BE$2,$O$23:$Y$24,3,FALSE)</f>
        <v>#N/A</v>
      </c>
      <c r="BE53" s="256"/>
      <c r="BF53" s="256">
        <f>IF(ISERROR(BD53),0,BD53)</f>
        <v>0</v>
      </c>
      <c r="BG53" s="257">
        <f>BG54*BF53</f>
        <v>0</v>
      </c>
      <c r="BH53" s="255" t="e">
        <f>VLOOKUP(BI$2,$O$23:$Y$24,3,FALSE)</f>
        <v>#N/A</v>
      </c>
      <c r="BI53" s="256"/>
      <c r="BJ53" s="256">
        <f>IF(ISERROR(BH53),0,BH53)</f>
        <v>0</v>
      </c>
      <c r="BK53" s="257">
        <f>BK54*BJ53</f>
        <v>0</v>
      </c>
      <c r="BL53" s="255" t="e">
        <f>VLOOKUP(BM$2,$O$23:$Y$24,3,FALSE)</f>
        <v>#N/A</v>
      </c>
      <c r="BM53" s="256"/>
      <c r="BN53" s="256">
        <f>IF(ISERROR(BL53),0,BL53)</f>
        <v>0</v>
      </c>
      <c r="BO53" s="257">
        <f>BO54*BN53</f>
        <v>0</v>
      </c>
      <c r="BP53" s="255" t="e">
        <f>VLOOKUP(BQ$2,$O$23:$Y$24,3,FALSE)</f>
        <v>#N/A</v>
      </c>
      <c r="BQ53" s="256"/>
      <c r="BR53" s="256">
        <f>IF(ISERROR(BP53),0,BP53)</f>
        <v>0</v>
      </c>
      <c r="BS53" s="257">
        <f>BS54*BR53</f>
        <v>0</v>
      </c>
      <c r="BT53" s="255" t="e">
        <f>VLOOKUP(BU$2,$O$23:$Y$24,3,FALSE)</f>
        <v>#N/A</v>
      </c>
      <c r="BU53" s="256"/>
      <c r="BV53" s="256">
        <f>IF(ISERROR(BT53),0,BT53)</f>
        <v>0</v>
      </c>
      <c r="BW53" s="257">
        <f>BW54*BV53</f>
        <v>0</v>
      </c>
      <c r="BX53" s="255" t="e">
        <f>VLOOKUP(BY$2,$O$23:$Y$24,3,FALSE)</f>
        <v>#N/A</v>
      </c>
      <c r="BY53" s="256"/>
      <c r="BZ53" s="256">
        <f>IF(ISERROR(BX53),0,BX53)</f>
        <v>0</v>
      </c>
      <c r="CA53" s="257">
        <f>CA54*BZ53</f>
        <v>0</v>
      </c>
      <c r="CB53" s="255" t="e">
        <f>VLOOKUP(CC$2,$O$23:$Y$24,3,FALSE)</f>
        <v>#N/A</v>
      </c>
      <c r="CC53" s="256"/>
      <c r="CD53" s="256">
        <f>IF(ISERROR(CB53),0,CB53)</f>
        <v>0</v>
      </c>
      <c r="CE53" s="257">
        <f>CE54*CD53</f>
        <v>0</v>
      </c>
      <c r="CF53" s="255" t="e">
        <f>VLOOKUP(CG$2,$O$23:$Y$24,3,FALSE)</f>
        <v>#N/A</v>
      </c>
      <c r="CG53" s="256"/>
      <c r="CH53" s="256">
        <f>IF(ISERROR(CF53),0,CF53)</f>
        <v>0</v>
      </c>
      <c r="CI53" s="257">
        <f>CI54*CH53</f>
        <v>0</v>
      </c>
      <c r="CJ53" s="255" t="e">
        <f>VLOOKUP(CK$2,$O$23:$Y$24,3,FALSE)</f>
        <v>#N/A</v>
      </c>
      <c r="CK53" s="256"/>
      <c r="CL53" s="256">
        <f>IF(ISERROR(CJ53),0,CJ53)</f>
        <v>0</v>
      </c>
      <c r="CM53" s="257">
        <f>CM54*CL53</f>
        <v>0</v>
      </c>
      <c r="CN53" s="245"/>
      <c r="CO53" s="246"/>
      <c r="CP53" s="246"/>
      <c r="CQ53" s="247"/>
    </row>
    <row r="54" spans="12:158" ht="21" customHeight="1" x14ac:dyDescent="0.3">
      <c r="O54" s="302"/>
      <c r="P54" s="227"/>
      <c r="Q54" s="228"/>
      <c r="R54" s="227"/>
      <c r="S54" s="228"/>
      <c r="T54" s="230"/>
      <c r="U54" s="231"/>
      <c r="V54" s="252"/>
      <c r="W54" s="252"/>
      <c r="X54" s="253"/>
      <c r="Y54" s="254"/>
      <c r="AA54" s="197"/>
      <c r="AB54" s="255"/>
      <c r="AC54" s="256"/>
      <c r="AD54" s="256"/>
      <c r="AE54" s="257"/>
      <c r="AF54" s="255"/>
      <c r="AG54" s="256"/>
      <c r="AH54" s="256"/>
      <c r="AI54" s="257"/>
      <c r="AJ54" s="255"/>
      <c r="AK54" s="256"/>
      <c r="AL54" s="256"/>
      <c r="AM54" s="257"/>
      <c r="AN54" s="255"/>
      <c r="AO54" s="256"/>
      <c r="AP54" s="256"/>
      <c r="AQ54" s="257"/>
      <c r="AR54" s="255"/>
      <c r="AS54" s="256"/>
      <c r="AT54" s="256"/>
      <c r="AU54" s="257"/>
      <c r="AV54" s="255"/>
      <c r="AW54" s="256"/>
      <c r="AX54" s="256"/>
      <c r="AY54" s="257"/>
      <c r="AZ54" s="255"/>
      <c r="BA54" s="256"/>
      <c r="BB54" s="256"/>
      <c r="BC54" s="257"/>
      <c r="BD54" s="255"/>
      <c r="BE54" s="256"/>
      <c r="BF54" s="256"/>
      <c r="BG54" s="257"/>
      <c r="BH54" s="255"/>
      <c r="BI54" s="256"/>
      <c r="BJ54" s="256"/>
      <c r="BK54" s="257"/>
      <c r="BL54" s="255"/>
      <c r="BM54" s="256"/>
      <c r="BN54" s="256"/>
      <c r="BO54" s="257"/>
      <c r="BP54" s="255"/>
      <c r="BQ54" s="256"/>
      <c r="BR54" s="256"/>
      <c r="BS54" s="257"/>
      <c r="BT54" s="255"/>
      <c r="BU54" s="256"/>
      <c r="BV54" s="256"/>
      <c r="BW54" s="257"/>
      <c r="BX54" s="255"/>
      <c r="BY54" s="256"/>
      <c r="BZ54" s="256"/>
      <c r="CA54" s="257"/>
      <c r="CB54" s="255"/>
      <c r="CC54" s="256"/>
      <c r="CD54" s="256"/>
      <c r="CE54" s="257"/>
      <c r="CF54" s="255"/>
      <c r="CG54" s="256"/>
      <c r="CH54" s="256"/>
      <c r="CI54" s="257"/>
      <c r="CJ54" s="255"/>
      <c r="CK54" s="256"/>
      <c r="CL54" s="256"/>
      <c r="CM54" s="257"/>
      <c r="CN54" s="245"/>
      <c r="CO54" s="246"/>
      <c r="CP54" s="246"/>
      <c r="CQ54" s="247"/>
    </row>
    <row r="55" spans="12:158" ht="16.5" customHeight="1" x14ac:dyDescent="0.3">
      <c r="AA55" s="197"/>
      <c r="AB55" s="255"/>
      <c r="AC55" s="256"/>
      <c r="AD55" s="258">
        <f>AD53</f>
        <v>0</v>
      </c>
      <c r="AE55" s="257"/>
      <c r="AF55" s="255"/>
      <c r="AG55" s="256"/>
      <c r="AH55" s="258">
        <f>AH53</f>
        <v>0</v>
      </c>
      <c r="AI55" s="257"/>
      <c r="AJ55" s="255"/>
      <c r="AK55" s="256"/>
      <c r="AL55" s="258">
        <f>AL53</f>
        <v>0</v>
      </c>
      <c r="AM55" s="257"/>
      <c r="AN55" s="255"/>
      <c r="AO55" s="256"/>
      <c r="AP55" s="258">
        <f>AP53</f>
        <v>0</v>
      </c>
      <c r="AQ55" s="257"/>
      <c r="AR55" s="255"/>
      <c r="AS55" s="256"/>
      <c r="AT55" s="258">
        <f>AT53</f>
        <v>0</v>
      </c>
      <c r="AU55" s="257"/>
      <c r="AV55" s="255"/>
      <c r="AW55" s="256"/>
      <c r="AX55" s="258">
        <f>AX53</f>
        <v>0</v>
      </c>
      <c r="AY55" s="257"/>
      <c r="AZ55" s="255"/>
      <c r="BA55" s="256"/>
      <c r="BB55" s="258">
        <f>BB53</f>
        <v>0</v>
      </c>
      <c r="BC55" s="257"/>
      <c r="BD55" s="255"/>
      <c r="BE55" s="256"/>
      <c r="BF55" s="258">
        <f>BF53</f>
        <v>0</v>
      </c>
      <c r="BG55" s="257"/>
      <c r="BH55" s="255"/>
      <c r="BI55" s="256"/>
      <c r="BJ55" s="258">
        <f>BJ53</f>
        <v>0</v>
      </c>
      <c r="BK55" s="257"/>
      <c r="BL55" s="255"/>
      <c r="BM55" s="256"/>
      <c r="BN55" s="258">
        <f>BN53</f>
        <v>0</v>
      </c>
      <c r="BO55" s="257"/>
      <c r="BP55" s="255"/>
      <c r="BQ55" s="256"/>
      <c r="BR55" s="258">
        <f>BR53</f>
        <v>0</v>
      </c>
      <c r="BS55" s="257"/>
      <c r="BT55" s="255"/>
      <c r="BU55" s="256"/>
      <c r="BV55" s="258">
        <f>BV53</f>
        <v>0</v>
      </c>
      <c r="BW55" s="257"/>
      <c r="BX55" s="255"/>
      <c r="BY55" s="256"/>
      <c r="BZ55" s="258">
        <f>BZ53</f>
        <v>0</v>
      </c>
      <c r="CA55" s="257"/>
      <c r="CB55" s="255"/>
      <c r="CC55" s="256"/>
      <c r="CD55" s="258">
        <f>CD53</f>
        <v>0</v>
      </c>
      <c r="CE55" s="257"/>
      <c r="CF55" s="255"/>
      <c r="CG55" s="256"/>
      <c r="CH55" s="258">
        <f>CH53</f>
        <v>0</v>
      </c>
      <c r="CI55" s="257"/>
      <c r="CJ55" s="255"/>
      <c r="CK55" s="256"/>
      <c r="CL55" s="258">
        <f>CL53</f>
        <v>0</v>
      </c>
      <c r="CM55" s="257"/>
      <c r="CN55" s="245"/>
      <c r="CO55" s="246"/>
      <c r="CP55" s="246"/>
      <c r="CQ55" s="247"/>
    </row>
    <row r="56" spans="12:158" ht="15.75" customHeight="1" x14ac:dyDescent="0.3">
      <c r="AA56" s="197" t="s">
        <v>156</v>
      </c>
      <c r="AB56" s="255" t="e">
        <f>VLOOKUP(AC$2,$O$23:$Y$24,4,FALSE)</f>
        <v>#N/A</v>
      </c>
      <c r="AC56" s="256"/>
      <c r="AD56" s="256">
        <f>IF(ISERROR(AB56),0,AB56)</f>
        <v>0</v>
      </c>
      <c r="AE56" s="257">
        <f>IF(ISERROR(AC56),0,AC56)</f>
        <v>0</v>
      </c>
      <c r="AF56" s="255" t="e">
        <f>VLOOKUP(AG$2,$O$23:$Y$24,4,FALSE)</f>
        <v>#N/A</v>
      </c>
      <c r="AG56" s="256"/>
      <c r="AH56" s="256">
        <f>IF(ISERROR(AF56),0,AF56)</f>
        <v>0</v>
      </c>
      <c r="AI56" s="257">
        <f>IF(ISERROR(AG56),0,AG56)</f>
        <v>0</v>
      </c>
      <c r="AJ56" s="255" t="e">
        <f>VLOOKUP(AK$2,$O$23:$Y$24,4,FALSE)</f>
        <v>#N/A</v>
      </c>
      <c r="AK56" s="256"/>
      <c r="AL56" s="256">
        <f>IF(ISERROR(AJ56),0,AJ56)</f>
        <v>0</v>
      </c>
      <c r="AM56" s="257">
        <f>IF(ISERROR(AK56),0,AK56)</f>
        <v>0</v>
      </c>
      <c r="AN56" s="255" t="e">
        <f>VLOOKUP(AO$2,$O$23:$Y$24,4,FALSE)</f>
        <v>#N/A</v>
      </c>
      <c r="AO56" s="256"/>
      <c r="AP56" s="256">
        <f>IF(ISERROR(AN56),0,AN56)</f>
        <v>0</v>
      </c>
      <c r="AQ56" s="257">
        <f>IF(ISERROR(AO56),0,AO56)</f>
        <v>0</v>
      </c>
      <c r="AR56" s="255" t="e">
        <f>VLOOKUP(AS$2,$O$23:$Y$24,4,FALSE)</f>
        <v>#N/A</v>
      </c>
      <c r="AS56" s="256"/>
      <c r="AT56" s="256">
        <f>IF(ISERROR(AR56),0,AR56)</f>
        <v>0</v>
      </c>
      <c r="AU56" s="257">
        <f>IF(ISERROR(AS56),0,AS56)</f>
        <v>0</v>
      </c>
      <c r="AV56" s="255" t="e">
        <f>VLOOKUP(AW$2,$O$23:$Y$24,4,FALSE)</f>
        <v>#N/A</v>
      </c>
      <c r="AW56" s="256"/>
      <c r="AX56" s="256">
        <f>IF(ISERROR(AV56),0,AV56)</f>
        <v>0</v>
      </c>
      <c r="AY56" s="257">
        <f>IF(ISERROR(AW56),0,AW56)</f>
        <v>0</v>
      </c>
      <c r="AZ56" s="255" t="e">
        <f>VLOOKUP(BA$2,$O$23:$Y$24,4,FALSE)</f>
        <v>#N/A</v>
      </c>
      <c r="BA56" s="256"/>
      <c r="BB56" s="256">
        <f>IF(ISERROR(AZ56),0,AZ56)</f>
        <v>0</v>
      </c>
      <c r="BC56" s="257">
        <f>IF(ISERROR(BA56),0,BA56)</f>
        <v>0</v>
      </c>
      <c r="BD56" s="255" t="e">
        <f>VLOOKUP(BE$2,$O$23:$Y$24,4,FALSE)</f>
        <v>#N/A</v>
      </c>
      <c r="BE56" s="256"/>
      <c r="BF56" s="256">
        <f>IF(ISERROR(BD56),0,BD56)</f>
        <v>0</v>
      </c>
      <c r="BG56" s="257">
        <f>IF(ISERROR(BE56),0,BE56)</f>
        <v>0</v>
      </c>
      <c r="BH56" s="255" t="e">
        <f>VLOOKUP(BI$2,$O$23:$Y$24,4,FALSE)</f>
        <v>#N/A</v>
      </c>
      <c r="BI56" s="256"/>
      <c r="BJ56" s="256">
        <f>IF(ISERROR(BH56),0,BH56)</f>
        <v>0</v>
      </c>
      <c r="BK56" s="257">
        <f>IF(ISERROR(BI56),0,BI56)</f>
        <v>0</v>
      </c>
      <c r="BL56" s="255" t="e">
        <f>VLOOKUP(BM$2,$O$23:$Y$24,4,FALSE)</f>
        <v>#N/A</v>
      </c>
      <c r="BM56" s="256"/>
      <c r="BN56" s="256">
        <f>IF(ISERROR(BL56),0,BL56)</f>
        <v>0</v>
      </c>
      <c r="BO56" s="257">
        <f>IF(ISERROR(BM56),0,BM56)</f>
        <v>0</v>
      </c>
      <c r="BP56" s="255" t="e">
        <f>VLOOKUP(BQ$2,$O$23:$Y$24,4,FALSE)</f>
        <v>#N/A</v>
      </c>
      <c r="BQ56" s="256"/>
      <c r="BR56" s="256">
        <f>IF(ISERROR(BP56),0,BP56)</f>
        <v>0</v>
      </c>
      <c r="BS56" s="257">
        <f>IF(ISERROR(BQ56),0,BQ56)</f>
        <v>0</v>
      </c>
      <c r="BT56" s="255" t="e">
        <f>VLOOKUP(BU$2,$O$23:$Y$24,4,FALSE)</f>
        <v>#N/A</v>
      </c>
      <c r="BU56" s="256"/>
      <c r="BV56" s="256">
        <f>IF(ISERROR(BT56),0,BT56)</f>
        <v>0</v>
      </c>
      <c r="BW56" s="257">
        <f>IF(ISERROR(BU56),0,BU56)</f>
        <v>0</v>
      </c>
      <c r="BX56" s="255" t="e">
        <f>VLOOKUP(BY$2,$O$23:$Y$24,4,FALSE)</f>
        <v>#N/A</v>
      </c>
      <c r="BY56" s="256"/>
      <c r="BZ56" s="256">
        <f>IF(ISERROR(BX56),0,BX56)</f>
        <v>0</v>
      </c>
      <c r="CA56" s="257">
        <f>IF(ISERROR(BY56),0,BY56)</f>
        <v>0</v>
      </c>
      <c r="CB56" s="255" t="e">
        <f>VLOOKUP(CC$2,$O$23:$Y$24,4,FALSE)</f>
        <v>#N/A</v>
      </c>
      <c r="CC56" s="256"/>
      <c r="CD56" s="256">
        <f>IF(ISERROR(CB56),0,CB56)</f>
        <v>0</v>
      </c>
      <c r="CE56" s="257">
        <f>IF(ISERROR(CC56),0,CC56)</f>
        <v>0</v>
      </c>
      <c r="CF56" s="255" t="e">
        <f>VLOOKUP(CG$2,$O$23:$Y$24,4,FALSE)</f>
        <v>#N/A</v>
      </c>
      <c r="CG56" s="256"/>
      <c r="CH56" s="256">
        <f>IF(ISERROR(CF56),0,CF56)</f>
        <v>0</v>
      </c>
      <c r="CI56" s="257">
        <f>IF(ISERROR(CG56),0,CG56)</f>
        <v>0</v>
      </c>
      <c r="CJ56" s="255" t="e">
        <f>VLOOKUP(CK$2,$O$23:$Y$24,4,FALSE)</f>
        <v>#N/A</v>
      </c>
      <c r="CK56" s="256"/>
      <c r="CL56" s="256">
        <f>IF(ISERROR(CJ56),0,CJ56)</f>
        <v>0</v>
      </c>
      <c r="CM56" s="257">
        <f>IF(ISERROR(CK56),0,CK56)</f>
        <v>0</v>
      </c>
      <c r="CN56" s="245"/>
      <c r="CO56" s="246"/>
      <c r="CP56" s="246"/>
      <c r="CQ56" s="247"/>
    </row>
    <row r="57" spans="12:158" ht="15.75" customHeight="1" x14ac:dyDescent="0.3">
      <c r="L57" s="202"/>
      <c r="AA57" s="197"/>
      <c r="AB57" s="255"/>
      <c r="AC57" s="256"/>
      <c r="AD57" s="258">
        <f>AD56+AE56</f>
        <v>0</v>
      </c>
      <c r="AE57" s="257"/>
      <c r="AF57" s="255"/>
      <c r="AG57" s="256"/>
      <c r="AH57" s="258">
        <f>AH56+AI56</f>
        <v>0</v>
      </c>
      <c r="AI57" s="257"/>
      <c r="AJ57" s="255"/>
      <c r="AK57" s="256"/>
      <c r="AL57" s="258">
        <f>AL56+AM56</f>
        <v>0</v>
      </c>
      <c r="AM57" s="257"/>
      <c r="AN57" s="255"/>
      <c r="AO57" s="256"/>
      <c r="AP57" s="258">
        <f>AP56+AQ56</f>
        <v>0</v>
      </c>
      <c r="AQ57" s="257"/>
      <c r="AR57" s="255"/>
      <c r="AS57" s="256"/>
      <c r="AT57" s="258">
        <f>AT56+AU56</f>
        <v>0</v>
      </c>
      <c r="AU57" s="257"/>
      <c r="AV57" s="255"/>
      <c r="AW57" s="256"/>
      <c r="AX57" s="258">
        <f>AX56+AY56</f>
        <v>0</v>
      </c>
      <c r="AY57" s="257"/>
      <c r="AZ57" s="255"/>
      <c r="BA57" s="256"/>
      <c r="BB57" s="258">
        <f>BB56+BC56</f>
        <v>0</v>
      </c>
      <c r="BC57" s="257"/>
      <c r="BD57" s="255"/>
      <c r="BE57" s="256"/>
      <c r="BF57" s="258">
        <f>BF56+BG56</f>
        <v>0</v>
      </c>
      <c r="BG57" s="257"/>
      <c r="BH57" s="255"/>
      <c r="BI57" s="256"/>
      <c r="BJ57" s="258">
        <f>BJ56+BK56</f>
        <v>0</v>
      </c>
      <c r="BK57" s="257"/>
      <c r="BL57" s="255"/>
      <c r="BM57" s="256"/>
      <c r="BN57" s="258">
        <f>BN56+BO56</f>
        <v>0</v>
      </c>
      <c r="BO57" s="257"/>
      <c r="BP57" s="255"/>
      <c r="BQ57" s="256"/>
      <c r="BR57" s="258">
        <f>BR56+BS56</f>
        <v>0</v>
      </c>
      <c r="BS57" s="257"/>
      <c r="BT57" s="255"/>
      <c r="BU57" s="256"/>
      <c r="BV57" s="258">
        <f>BV56+BW56</f>
        <v>0</v>
      </c>
      <c r="BW57" s="257"/>
      <c r="BX57" s="255"/>
      <c r="BY57" s="256"/>
      <c r="BZ57" s="258">
        <f>BZ56+CA56</f>
        <v>0</v>
      </c>
      <c r="CA57" s="257"/>
      <c r="CB57" s="255"/>
      <c r="CC57" s="256"/>
      <c r="CD57" s="258">
        <f>CD56+CE56</f>
        <v>0</v>
      </c>
      <c r="CE57" s="257"/>
      <c r="CF57" s="255"/>
      <c r="CG57" s="256"/>
      <c r="CH57" s="258">
        <f>CH56+CI56</f>
        <v>0</v>
      </c>
      <c r="CI57" s="257"/>
      <c r="CJ57" s="255"/>
      <c r="CK57" s="256"/>
      <c r="CL57" s="258">
        <f>CL56+CM56</f>
        <v>0</v>
      </c>
      <c r="CM57" s="257"/>
      <c r="CN57" s="245"/>
      <c r="CO57" s="246"/>
      <c r="CP57" s="246"/>
      <c r="CQ57" s="247"/>
    </row>
    <row r="58" spans="12:158" ht="16.5" customHeight="1" x14ac:dyDescent="0.3">
      <c r="AA58" s="197" t="s">
        <v>157</v>
      </c>
      <c r="AB58" s="255" t="e">
        <f>VLOOKUP(AC$2,$O$23:$Y$24,10,FALSE)</f>
        <v>#N/A</v>
      </c>
      <c r="AC58" s="256"/>
      <c r="AD58" s="258">
        <f>IF(ISERROR(AB58),0,AB58)</f>
        <v>0</v>
      </c>
      <c r="AE58" s="257">
        <f>IF(ISERROR(AC58),0,AC58)</f>
        <v>0</v>
      </c>
      <c r="AF58" s="255" t="e">
        <f>VLOOKUP(AG$2,$O$23:$Y$24,10,FALSE)</f>
        <v>#N/A</v>
      </c>
      <c r="AG58" s="256"/>
      <c r="AH58" s="258">
        <f>IF(ISERROR(AF58),0,AF58)</f>
        <v>0</v>
      </c>
      <c r="AI58" s="257">
        <f>IF(ISERROR(AG58),0,AG58)</f>
        <v>0</v>
      </c>
      <c r="AJ58" s="255" t="e">
        <f>VLOOKUP(AK$2,$O$23:$Y$24,10,FALSE)</f>
        <v>#N/A</v>
      </c>
      <c r="AK58" s="256"/>
      <c r="AL58" s="258">
        <f>IF(ISERROR(AJ58),0,AJ58)</f>
        <v>0</v>
      </c>
      <c r="AM58" s="257">
        <f>IF(ISERROR(AK58),0,AK58)</f>
        <v>0</v>
      </c>
      <c r="AN58" s="255" t="e">
        <f>VLOOKUP(AO$2,$O$23:$Y$24,10,FALSE)</f>
        <v>#N/A</v>
      </c>
      <c r="AO58" s="256"/>
      <c r="AP58" s="258">
        <f>IF(ISERROR(AN58),0,AN58)</f>
        <v>0</v>
      </c>
      <c r="AQ58" s="257">
        <f>IF(ISERROR(AO58),0,AO58)</f>
        <v>0</v>
      </c>
      <c r="AR58" s="255" t="e">
        <f>VLOOKUP(AS$2,$O$23:$Y$24,10,FALSE)</f>
        <v>#N/A</v>
      </c>
      <c r="AS58" s="256"/>
      <c r="AT58" s="258">
        <f>IF(ISERROR(AR58),0,AR58)</f>
        <v>0</v>
      </c>
      <c r="AU58" s="257">
        <f>IF(ISERROR(AS58),0,AS58)</f>
        <v>0</v>
      </c>
      <c r="AV58" s="255" t="e">
        <f>VLOOKUP(AW$2,$O$23:$Y$24,10,FALSE)</f>
        <v>#N/A</v>
      </c>
      <c r="AW58" s="256"/>
      <c r="AX58" s="258">
        <f>IF(ISERROR(AV58),0,AV58)</f>
        <v>0</v>
      </c>
      <c r="AY58" s="257">
        <f>IF(ISERROR(AW58),0,AW58)</f>
        <v>0</v>
      </c>
      <c r="AZ58" s="255" t="e">
        <f>VLOOKUP(BA$2,$O$23:$Y$24,10,FALSE)</f>
        <v>#N/A</v>
      </c>
      <c r="BA58" s="256"/>
      <c r="BB58" s="258">
        <f>IF(ISERROR(AZ58),0,AZ58)</f>
        <v>0</v>
      </c>
      <c r="BC58" s="257">
        <f>IF(ISERROR(BA58),0,BA58)</f>
        <v>0</v>
      </c>
      <c r="BD58" s="255" t="e">
        <f>VLOOKUP(BE$2,$O$23:$Y$24,10,FALSE)</f>
        <v>#N/A</v>
      </c>
      <c r="BE58" s="256"/>
      <c r="BF58" s="258">
        <f>IF(ISERROR(BD58),0,BD58)</f>
        <v>0</v>
      </c>
      <c r="BG58" s="257">
        <f>IF(ISERROR(BE58),0,BE58)</f>
        <v>0</v>
      </c>
      <c r="BH58" s="255" t="e">
        <f>VLOOKUP(BI$2,$O$23:$Y$24,10,FALSE)</f>
        <v>#N/A</v>
      </c>
      <c r="BI58" s="256"/>
      <c r="BJ58" s="258">
        <f>IF(ISERROR(BH58),0,BH58)</f>
        <v>0</v>
      </c>
      <c r="BK58" s="257">
        <f>IF(ISERROR(BI58),0,BI58)</f>
        <v>0</v>
      </c>
      <c r="BL58" s="255" t="e">
        <f>VLOOKUP(BM$2,$O$23:$Y$24,10,FALSE)</f>
        <v>#N/A</v>
      </c>
      <c r="BM58" s="256"/>
      <c r="BN58" s="258">
        <f>IF(ISERROR(BL58),0,BL58)</f>
        <v>0</v>
      </c>
      <c r="BO58" s="257">
        <f>IF(ISERROR(BM58),0,BM58)</f>
        <v>0</v>
      </c>
      <c r="BP58" s="255" t="e">
        <f>VLOOKUP(BQ$2,$O$23:$Y$24,10,FALSE)</f>
        <v>#N/A</v>
      </c>
      <c r="BQ58" s="256"/>
      <c r="BR58" s="258">
        <f>IF(ISERROR(BP58),0,BP58)</f>
        <v>0</v>
      </c>
      <c r="BS58" s="257">
        <f>IF(ISERROR(BQ58),0,BQ58)</f>
        <v>0</v>
      </c>
      <c r="BT58" s="255" t="e">
        <f>VLOOKUP(BU$2,$O$23:$Y$24,10,FALSE)</f>
        <v>#N/A</v>
      </c>
      <c r="BU58" s="256"/>
      <c r="BV58" s="258">
        <f>IF(ISERROR(BT58),0,BT58)</f>
        <v>0</v>
      </c>
      <c r="BW58" s="257">
        <f>IF(ISERROR(BU58),0,BU58)</f>
        <v>0</v>
      </c>
      <c r="BX58" s="255" t="e">
        <f>VLOOKUP(BY$2,$O$23:$Y$24,10,FALSE)</f>
        <v>#N/A</v>
      </c>
      <c r="BY58" s="256"/>
      <c r="BZ58" s="258">
        <f>IF(ISERROR(BX58),0,BX58)</f>
        <v>0</v>
      </c>
      <c r="CA58" s="257">
        <f>IF(ISERROR(BY58),0,BY58)</f>
        <v>0</v>
      </c>
      <c r="CB58" s="255" t="e">
        <f>VLOOKUP(CC$2,$O$23:$Y$24,10,FALSE)</f>
        <v>#N/A</v>
      </c>
      <c r="CC58" s="256"/>
      <c r="CD58" s="258">
        <f>IF(ISERROR(CB58),0,CB58)</f>
        <v>0</v>
      </c>
      <c r="CE58" s="257">
        <f>IF(ISERROR(CC58),0,CC58)</f>
        <v>0</v>
      </c>
      <c r="CF58" s="255" t="e">
        <f>VLOOKUP(CG$2,$O$23:$Y$24,10,FALSE)</f>
        <v>#N/A</v>
      </c>
      <c r="CG58" s="256"/>
      <c r="CH58" s="258">
        <f>IF(ISERROR(CF58),0,CF58)</f>
        <v>0</v>
      </c>
      <c r="CI58" s="257">
        <f>IF(ISERROR(CG58),0,CG58)</f>
        <v>0</v>
      </c>
      <c r="CJ58" s="255" t="e">
        <f>VLOOKUP(CK$2,$O$23:$Y$24,10,FALSE)</f>
        <v>#N/A</v>
      </c>
      <c r="CK58" s="256"/>
      <c r="CL58" s="258">
        <f>IF(ISERROR(CJ58),0,CJ58)</f>
        <v>0</v>
      </c>
      <c r="CM58" s="257">
        <f>IF(ISERROR(CK58),0,CK58)</f>
        <v>0</v>
      </c>
      <c r="CN58" s="245"/>
      <c r="CO58" s="246"/>
      <c r="CP58" s="246"/>
      <c r="CQ58" s="247"/>
    </row>
    <row r="59" spans="12:158" ht="15.75" customHeight="1" x14ac:dyDescent="0.3">
      <c r="AA59" s="199"/>
      <c r="AB59" s="255" t="e">
        <f>VLOOKUP(AC$2,$O$23:$Y$24,5,FALSE)</f>
        <v>#N/A</v>
      </c>
      <c r="AC59" s="256"/>
      <c r="AD59" s="256">
        <f>IF(ISERROR(AB59),0,AB59)</f>
        <v>0</v>
      </c>
      <c r="AE59" s="257">
        <f>IF(ISERROR(AC59),0,AC59)</f>
        <v>0</v>
      </c>
      <c r="AF59" s="255" t="e">
        <f>VLOOKUP(AG$2,$O$23:$Y$24,5,FALSE)</f>
        <v>#N/A</v>
      </c>
      <c r="AG59" s="256"/>
      <c r="AH59" s="256">
        <f>IF(ISERROR(AF59),0,AF59)</f>
        <v>0</v>
      </c>
      <c r="AI59" s="257">
        <f>IF(ISERROR(AG59),0,AG59)</f>
        <v>0</v>
      </c>
      <c r="AJ59" s="255" t="e">
        <f>VLOOKUP(AK$2,$O$23:$Y$24,5,FALSE)</f>
        <v>#N/A</v>
      </c>
      <c r="AK59" s="256"/>
      <c r="AL59" s="256">
        <f>IF(ISERROR(AJ59),0,AJ59)</f>
        <v>0</v>
      </c>
      <c r="AM59" s="257">
        <f>IF(ISERROR(AK59),0,AK59)</f>
        <v>0</v>
      </c>
      <c r="AN59" s="255" t="e">
        <f>VLOOKUP(AO$2,$O$23:$Y$24,5,FALSE)</f>
        <v>#N/A</v>
      </c>
      <c r="AO59" s="256"/>
      <c r="AP59" s="256">
        <f>IF(ISERROR(AN59),0,AN59)</f>
        <v>0</v>
      </c>
      <c r="AQ59" s="257">
        <f>IF(ISERROR(AO59),0,AO59)</f>
        <v>0</v>
      </c>
      <c r="AR59" s="255" t="e">
        <f>VLOOKUP(AS$2,$O$23:$Y$24,5,FALSE)</f>
        <v>#N/A</v>
      </c>
      <c r="AS59" s="256"/>
      <c r="AT59" s="256">
        <f>IF(ISERROR(AR59),0,AR59)</f>
        <v>0</v>
      </c>
      <c r="AU59" s="257">
        <f>IF(ISERROR(AS59),0,AS59)</f>
        <v>0</v>
      </c>
      <c r="AV59" s="255" t="e">
        <f>VLOOKUP(AW$2,$O$23:$Y$24,5,FALSE)</f>
        <v>#N/A</v>
      </c>
      <c r="AW59" s="256"/>
      <c r="AX59" s="256">
        <f>IF(ISERROR(AV59),0,AV59)</f>
        <v>0</v>
      </c>
      <c r="AY59" s="257">
        <f>IF(ISERROR(AW59),0,AW59)</f>
        <v>0</v>
      </c>
      <c r="AZ59" s="255" t="e">
        <f>VLOOKUP(BA$2,$O$23:$Y$24,5,FALSE)</f>
        <v>#N/A</v>
      </c>
      <c r="BA59" s="256"/>
      <c r="BB59" s="256">
        <f>IF(ISERROR(AZ59),0,AZ59)</f>
        <v>0</v>
      </c>
      <c r="BC59" s="257">
        <f>IF(ISERROR(BA59),0,BA59)</f>
        <v>0</v>
      </c>
      <c r="BD59" s="255" t="e">
        <f>VLOOKUP(BE$2,$O$23:$Y$24,5,FALSE)</f>
        <v>#N/A</v>
      </c>
      <c r="BE59" s="256"/>
      <c r="BF59" s="256">
        <f>IF(ISERROR(BD59),0,BD59)</f>
        <v>0</v>
      </c>
      <c r="BG59" s="257">
        <f>IF(ISERROR(BE59),0,BE59)</f>
        <v>0</v>
      </c>
      <c r="BH59" s="255" t="e">
        <f>VLOOKUP(BI$2,$O$23:$Y$24,5,FALSE)</f>
        <v>#N/A</v>
      </c>
      <c r="BI59" s="256"/>
      <c r="BJ59" s="256">
        <f>IF(ISERROR(BH59),0,BH59)</f>
        <v>0</v>
      </c>
      <c r="BK59" s="257">
        <f>IF(ISERROR(BI59),0,BI59)</f>
        <v>0</v>
      </c>
      <c r="BL59" s="255" t="e">
        <f>VLOOKUP(BM$2,$O$23:$Y$24,5,FALSE)</f>
        <v>#N/A</v>
      </c>
      <c r="BM59" s="256"/>
      <c r="BN59" s="256">
        <f>IF(ISERROR(BL59),0,BL59)</f>
        <v>0</v>
      </c>
      <c r="BO59" s="257">
        <f>IF(ISERROR(BM59),0,BM59)</f>
        <v>0</v>
      </c>
      <c r="BP59" s="255" t="e">
        <f>VLOOKUP(BQ$2,$O$23:$Y$24,5,FALSE)</f>
        <v>#N/A</v>
      </c>
      <c r="BQ59" s="256"/>
      <c r="BR59" s="256">
        <f>IF(ISERROR(BP59),0,BP59)</f>
        <v>0</v>
      </c>
      <c r="BS59" s="257">
        <f>IF(ISERROR(BQ59),0,BQ59)</f>
        <v>0</v>
      </c>
      <c r="BT59" s="255" t="e">
        <f>VLOOKUP(BU$2,$O$23:$Y$24,5,FALSE)</f>
        <v>#N/A</v>
      </c>
      <c r="BU59" s="256"/>
      <c r="BV59" s="256">
        <f>IF(ISERROR(BT59),0,BT59)</f>
        <v>0</v>
      </c>
      <c r="BW59" s="257">
        <f>IF(ISERROR(BU59),0,BU59)</f>
        <v>0</v>
      </c>
      <c r="BX59" s="255" t="e">
        <f>VLOOKUP(BY$2,$O$23:$Y$24,5,FALSE)</f>
        <v>#N/A</v>
      </c>
      <c r="BY59" s="256"/>
      <c r="BZ59" s="256">
        <f>IF(ISERROR(BX59),0,BX59)</f>
        <v>0</v>
      </c>
      <c r="CA59" s="257">
        <f>IF(ISERROR(BY59),0,BY59)</f>
        <v>0</v>
      </c>
      <c r="CB59" s="255" t="e">
        <f>VLOOKUP(CC$2,$O$23:$Y$24,5,FALSE)</f>
        <v>#N/A</v>
      </c>
      <c r="CC59" s="256"/>
      <c r="CD59" s="256">
        <f>IF(ISERROR(CB59),0,CB59)</f>
        <v>0</v>
      </c>
      <c r="CE59" s="257">
        <f>IF(ISERROR(CC59),0,CC59)</f>
        <v>0</v>
      </c>
      <c r="CF59" s="255" t="e">
        <f>VLOOKUP(CG$2,$O$23:$Y$24,5,FALSE)</f>
        <v>#N/A</v>
      </c>
      <c r="CG59" s="256"/>
      <c r="CH59" s="256">
        <f>IF(ISERROR(CF59),0,CF59)</f>
        <v>0</v>
      </c>
      <c r="CI59" s="257">
        <f>IF(ISERROR(CG59),0,CG59)</f>
        <v>0</v>
      </c>
      <c r="CJ59" s="255" t="e">
        <f>VLOOKUP(CK$2,$O$23:$Y$24,5,FALSE)</f>
        <v>#N/A</v>
      </c>
      <c r="CK59" s="256"/>
      <c r="CL59" s="256">
        <f>IF(ISERROR(CJ59),0,CJ59)</f>
        <v>0</v>
      </c>
      <c r="CM59" s="257">
        <f>IF(ISERROR(CK59),0,CK59)</f>
        <v>0</v>
      </c>
      <c r="CN59" s="245"/>
      <c r="CO59" s="246"/>
      <c r="CP59" s="246"/>
      <c r="CQ59" s="247"/>
    </row>
    <row r="60" spans="12:158" ht="17.25" customHeight="1" x14ac:dyDescent="0.3">
      <c r="P60" s="279" t="s">
        <v>418</v>
      </c>
      <c r="Q60" s="279" t="s">
        <v>419</v>
      </c>
      <c r="R60" s="279" t="s">
        <v>420</v>
      </c>
      <c r="AA60" s="199" t="s">
        <v>158</v>
      </c>
      <c r="AB60" s="255"/>
      <c r="AC60" s="256"/>
      <c r="AD60" s="258">
        <f>AD59</f>
        <v>0</v>
      </c>
      <c r="AE60" s="257"/>
      <c r="AF60" s="255"/>
      <c r="AG60" s="256"/>
      <c r="AH60" s="258">
        <f>AH59</f>
        <v>0</v>
      </c>
      <c r="AI60" s="257"/>
      <c r="AJ60" s="255"/>
      <c r="AK60" s="256"/>
      <c r="AL60" s="258">
        <f>AL59</f>
        <v>0</v>
      </c>
      <c r="AM60" s="257"/>
      <c r="AN60" s="255"/>
      <c r="AO60" s="256"/>
      <c r="AP60" s="258">
        <f>AP59</f>
        <v>0</v>
      </c>
      <c r="AQ60" s="257"/>
      <c r="AR60" s="255"/>
      <c r="AS60" s="256"/>
      <c r="AT60" s="258">
        <f>AT59</f>
        <v>0</v>
      </c>
      <c r="AU60" s="257"/>
      <c r="AV60" s="255"/>
      <c r="AW60" s="256"/>
      <c r="AX60" s="258">
        <f>AX59</f>
        <v>0</v>
      </c>
      <c r="AY60" s="257"/>
      <c r="AZ60" s="255"/>
      <c r="BA60" s="256"/>
      <c r="BB60" s="258">
        <f>BB59</f>
        <v>0</v>
      </c>
      <c r="BC60" s="257"/>
      <c r="BD60" s="255"/>
      <c r="BE60" s="256"/>
      <c r="BF60" s="258">
        <f>BF59</f>
        <v>0</v>
      </c>
      <c r="BG60" s="257"/>
      <c r="BH60" s="255"/>
      <c r="BI60" s="256"/>
      <c r="BJ60" s="258">
        <f>BJ59</f>
        <v>0</v>
      </c>
      <c r="BK60" s="257"/>
      <c r="BL60" s="255"/>
      <c r="BM60" s="256"/>
      <c r="BN60" s="258">
        <f>BN59</f>
        <v>0</v>
      </c>
      <c r="BO60" s="257"/>
      <c r="BP60" s="255"/>
      <c r="BQ60" s="256"/>
      <c r="BR60" s="258">
        <f>BR59</f>
        <v>0</v>
      </c>
      <c r="BS60" s="257"/>
      <c r="BT60" s="255"/>
      <c r="BU60" s="256"/>
      <c r="BV60" s="258">
        <f>BV59</f>
        <v>0</v>
      </c>
      <c r="BW60" s="257"/>
      <c r="BX60" s="255"/>
      <c r="BY60" s="256"/>
      <c r="BZ60" s="258">
        <f>BZ59</f>
        <v>0</v>
      </c>
      <c r="CA60" s="257"/>
      <c r="CB60" s="255"/>
      <c r="CC60" s="256"/>
      <c r="CD60" s="258">
        <f>CD59</f>
        <v>0</v>
      </c>
      <c r="CE60" s="257"/>
      <c r="CF60" s="255"/>
      <c r="CG60" s="256"/>
      <c r="CH60" s="258">
        <f>CH59</f>
        <v>0</v>
      </c>
      <c r="CI60" s="257"/>
      <c r="CJ60" s="255"/>
      <c r="CK60" s="256"/>
      <c r="CL60" s="258">
        <f>CL59</f>
        <v>0</v>
      </c>
      <c r="CM60" s="257"/>
      <c r="CN60" s="259"/>
      <c r="CO60" s="246"/>
      <c r="CP60" s="246"/>
      <c r="CQ60" s="247"/>
    </row>
    <row r="61" spans="12:158" ht="16.5" customHeight="1" x14ac:dyDescent="0.3">
      <c r="M61" s="260">
        <f>+Tirage!A6</f>
        <v>1</v>
      </c>
      <c r="N61" s="260"/>
      <c r="O61" s="260" t="str">
        <f>IF(Tirage!B6="","",Tirage!B6)</f>
        <v>HENWOOD PHILIPPE</v>
      </c>
      <c r="P61" s="279">
        <f ca="1">IF(O61="","",SUMIF($C$6:$K$35,O61,$K$6:$K$35))</f>
        <v>2</v>
      </c>
      <c r="Q61" s="279">
        <f ca="1">IF(O61="","",SUMIF($C$6:$K$35,O61,$E$6:$E$35))</f>
        <v>184</v>
      </c>
      <c r="R61" s="279">
        <f ca="1">IF(O61="","",SUMIF($C$6:$K$35,O61,$F$6:$F$35))</f>
        <v>45</v>
      </c>
      <c r="S61" s="277">
        <f ca="1">IF(O61="","",Q61/R61)</f>
        <v>4.0888888888888886</v>
      </c>
      <c r="T61" s="276">
        <f ca="1">IF(O61="","",P61+(S61/10000))</f>
        <v>2.0004088888888889</v>
      </c>
      <c r="X61" s="261">
        <f ca="1">IF(O61="","",RANK(T61,$T$61:$T$67))</f>
        <v>4</v>
      </c>
      <c r="Y61" s="279">
        <f>+M61</f>
        <v>1</v>
      </c>
      <c r="AA61" s="199"/>
      <c r="AB61" s="262">
        <f>IF(AD57&gt;=1,AD55/AD56,0)</f>
        <v>0</v>
      </c>
      <c r="AC61" s="256"/>
      <c r="AD61" s="256"/>
      <c r="AE61" s="257"/>
      <c r="AF61" s="262">
        <f>IF(AH57&gt;=1,AH55/AH56,0)</f>
        <v>0</v>
      </c>
      <c r="AG61" s="256"/>
      <c r="AH61" s="256"/>
      <c r="AI61" s="257"/>
      <c r="AJ61" s="262">
        <f>IF(AL57&gt;=1,AL55/AL56,0)</f>
        <v>0</v>
      </c>
      <c r="AK61" s="256"/>
      <c r="AL61" s="256"/>
      <c r="AM61" s="257"/>
      <c r="AN61" s="262">
        <f>IF(AP57&gt;=1,AP55/AP56,0)</f>
        <v>0</v>
      </c>
      <c r="AO61" s="256"/>
      <c r="AP61" s="256"/>
      <c r="AQ61" s="257"/>
      <c r="AR61" s="262">
        <f>IF(AT57&gt;=1,AT55/AT56,0)</f>
        <v>0</v>
      </c>
      <c r="AS61" s="256"/>
      <c r="AT61" s="256"/>
      <c r="AU61" s="257"/>
      <c r="AV61" s="262">
        <f>IF(AX57&gt;=1,AX55/AX56,0)</f>
        <v>0</v>
      </c>
      <c r="AW61" s="256"/>
      <c r="AX61" s="256"/>
      <c r="AY61" s="257"/>
      <c r="AZ61" s="262">
        <f>IF(BB57&gt;=1,BB55/BB56,0)</f>
        <v>0</v>
      </c>
      <c r="BA61" s="256"/>
      <c r="BB61" s="256"/>
      <c r="BC61" s="257"/>
      <c r="BD61" s="262">
        <f>IF(BF57&gt;=1,BF55/BF56,0)</f>
        <v>0</v>
      </c>
      <c r="BE61" s="256"/>
      <c r="BF61" s="256"/>
      <c r="BG61" s="257"/>
      <c r="BH61" s="262">
        <f>IF(BJ57&gt;=1,BJ55/BJ56,0)</f>
        <v>0</v>
      </c>
      <c r="BI61" s="256"/>
      <c r="BJ61" s="256"/>
      <c r="BK61" s="257"/>
      <c r="BL61" s="262">
        <f>IF(BN57&gt;=1,BN55/BN56,0)</f>
        <v>0</v>
      </c>
      <c r="BM61" s="256"/>
      <c r="BN61" s="256"/>
      <c r="BO61" s="257"/>
      <c r="BP61" s="262">
        <f>IF(BR57&gt;=1,BR55/BR56,0)</f>
        <v>0</v>
      </c>
      <c r="BQ61" s="256"/>
      <c r="BR61" s="256"/>
      <c r="BS61" s="257"/>
      <c r="BT61" s="262">
        <f>IF(BV57&gt;=1,BV55/BV56,0)</f>
        <v>0</v>
      </c>
      <c r="BU61" s="256"/>
      <c r="BV61" s="256"/>
      <c r="BW61" s="257"/>
      <c r="BX61" s="262">
        <f>IF(BZ57&gt;=1,BZ55/BZ56,0)</f>
        <v>0</v>
      </c>
      <c r="BY61" s="256"/>
      <c r="BZ61" s="256"/>
      <c r="CA61" s="257"/>
      <c r="CB61" s="262">
        <f>IF(CD57&gt;=1,CD55/CD56,0)</f>
        <v>0</v>
      </c>
      <c r="CC61" s="256"/>
      <c r="CD61" s="256"/>
      <c r="CE61" s="257"/>
      <c r="CF61" s="262">
        <f>IF(CH57&gt;=1,CH55/CH56,0)</f>
        <v>0</v>
      </c>
      <c r="CG61" s="256"/>
      <c r="CH61" s="256"/>
      <c r="CI61" s="257"/>
      <c r="CJ61" s="262">
        <f>IF(CL57&gt;=1,CL55/CL56,0)</f>
        <v>0</v>
      </c>
      <c r="CK61" s="256"/>
      <c r="CL61" s="256"/>
      <c r="CM61" s="257"/>
      <c r="CN61" s="245"/>
      <c r="CO61" s="246"/>
      <c r="CP61" s="246"/>
      <c r="CQ61" s="247"/>
    </row>
    <row r="62" spans="12:158" ht="16.5" customHeight="1" x14ac:dyDescent="0.3">
      <c r="M62" s="260">
        <f>+Tirage!A7</f>
        <v>2</v>
      </c>
      <c r="N62" s="260"/>
      <c r="O62" s="260" t="str">
        <f>IF(Tirage!B7="","",Tirage!B7)</f>
        <v>CASTANER GEORGES</v>
      </c>
      <c r="P62" s="279">
        <f ca="1">IF(O62="","",SUMIF($C$6:$K$35,O62,$K$6:$K$35))</f>
        <v>4</v>
      </c>
      <c r="Q62" s="279">
        <f ca="1">IF(O62="","",SUMIF($C$6:$K$35,O62,$E$6:$E$35))</f>
        <v>208</v>
      </c>
      <c r="R62" s="279">
        <f ca="1">IF(O62="","",SUMIF($C$6:$K$35,O62,$F$6:$F$35))</f>
        <v>70</v>
      </c>
      <c r="S62" s="277">
        <f ca="1">IF(O62="","",Q62/R62)</f>
        <v>2.9714285714285715</v>
      </c>
      <c r="T62" s="276">
        <f ca="1">IF(O62="","",P62+(S62/10000))</f>
        <v>4.0002971428571428</v>
      </c>
      <c r="X62" s="261">
        <f ca="1">IF(O62="","",RANK(T62,$T$61:$T$67))</f>
        <v>2</v>
      </c>
      <c r="Y62" s="279">
        <f t="shared" ref="Y62:Y67" si="100">+M62</f>
        <v>2</v>
      </c>
      <c r="AA62" s="199" t="s">
        <v>159</v>
      </c>
      <c r="AB62" s="255"/>
      <c r="AC62" s="256"/>
      <c r="AD62" s="256"/>
      <c r="AE62" s="257"/>
      <c r="AF62" s="255"/>
      <c r="AG62" s="256"/>
      <c r="AH62" s="256"/>
      <c r="AI62" s="257"/>
      <c r="AJ62" s="255"/>
      <c r="AK62" s="256"/>
      <c r="AL62" s="256"/>
      <c r="AM62" s="257"/>
      <c r="AN62" s="255"/>
      <c r="AO62" s="256"/>
      <c r="AP62" s="256"/>
      <c r="AQ62" s="257"/>
      <c r="AR62" s="255"/>
      <c r="AS62" s="256"/>
      <c r="AT62" s="256"/>
      <c r="AU62" s="257"/>
      <c r="AV62" s="255"/>
      <c r="AW62" s="256"/>
      <c r="AX62" s="256"/>
      <c r="AY62" s="257"/>
      <c r="AZ62" s="255"/>
      <c r="BA62" s="256"/>
      <c r="BB62" s="256"/>
      <c r="BC62" s="257"/>
      <c r="BD62" s="255"/>
      <c r="BE62" s="256"/>
      <c r="BF62" s="256"/>
      <c r="BG62" s="257"/>
      <c r="BH62" s="255"/>
      <c r="BI62" s="256"/>
      <c r="BJ62" s="256"/>
      <c r="BK62" s="257"/>
      <c r="BL62" s="255"/>
      <c r="BM62" s="256"/>
      <c r="BN62" s="256"/>
      <c r="BO62" s="257"/>
      <c r="BP62" s="255"/>
      <c r="BQ62" s="256"/>
      <c r="BR62" s="256"/>
      <c r="BS62" s="257"/>
      <c r="BT62" s="255"/>
      <c r="BU62" s="256"/>
      <c r="BV62" s="256"/>
      <c r="BW62" s="257"/>
      <c r="BX62" s="255"/>
      <c r="BY62" s="256"/>
      <c r="BZ62" s="256"/>
      <c r="CA62" s="257"/>
      <c r="CB62" s="255"/>
      <c r="CC62" s="256"/>
      <c r="CD62" s="256"/>
      <c r="CE62" s="257"/>
      <c r="CF62" s="255"/>
      <c r="CG62" s="256"/>
      <c r="CH62" s="256"/>
      <c r="CI62" s="257"/>
      <c r="CJ62" s="255"/>
      <c r="CK62" s="256"/>
      <c r="CL62" s="256"/>
      <c r="CM62" s="257"/>
      <c r="CN62" s="245"/>
      <c r="CO62" s="246"/>
      <c r="CP62" s="246"/>
      <c r="CQ62" s="247"/>
    </row>
    <row r="63" spans="12:158" ht="16.5" customHeight="1" x14ac:dyDescent="0.3">
      <c r="M63" s="260">
        <f>+Tirage!A8</f>
        <v>3</v>
      </c>
      <c r="N63" s="260"/>
      <c r="O63" s="260" t="str">
        <f>IF(Tirage!B8="","",Tirage!B8)</f>
        <v>CREDOT GERALD</v>
      </c>
      <c r="P63" s="279">
        <f ca="1">IF(O63="","",SUMIF($C$6:$K$35,O63,$K$6:$K$35))</f>
        <v>7</v>
      </c>
      <c r="Q63" s="279">
        <f ca="1">IF(O63="","",SUMIF($C$6:$K$35,O63,$E$6:$E$35))</f>
        <v>320</v>
      </c>
      <c r="R63" s="279">
        <f ca="1">IF(O63="","",SUMIF($C$6:$K$35,O63,$F$6:$F$35))</f>
        <v>86</v>
      </c>
      <c r="S63" s="277">
        <f ca="1">IF(O63="","",Q63/R63)</f>
        <v>3.7209302325581395</v>
      </c>
      <c r="T63" s="276">
        <f ca="1">IF(O63="","",P63+(S63/10000))</f>
        <v>7.0003720930232562</v>
      </c>
      <c r="X63" s="261">
        <f ca="1">IF(O63="","",RANK(T63,$T$61:$T$67))</f>
        <v>1</v>
      </c>
      <c r="Y63" s="279">
        <f t="shared" si="100"/>
        <v>3</v>
      </c>
      <c r="AA63" s="199"/>
      <c r="AB63" s="312"/>
      <c r="AC63" s="312"/>
      <c r="AD63" s="312"/>
      <c r="AE63" s="312"/>
      <c r="AF63" s="312"/>
      <c r="AG63" s="312"/>
      <c r="AH63" s="312"/>
      <c r="AI63" s="312"/>
      <c r="AJ63" s="312"/>
      <c r="AK63" s="312"/>
      <c r="AL63" s="312"/>
      <c r="AM63" s="312"/>
      <c r="AN63" s="312"/>
      <c r="AO63" s="312"/>
      <c r="AP63" s="312"/>
      <c r="AQ63" s="312"/>
      <c r="AR63" s="312"/>
      <c r="AS63" s="312"/>
      <c r="AT63" s="312"/>
      <c r="AU63" s="312"/>
      <c r="AV63" s="312"/>
      <c r="AW63" s="312"/>
      <c r="AX63" s="312"/>
      <c r="AY63" s="312"/>
      <c r="AZ63" s="312"/>
      <c r="BA63" s="312"/>
      <c r="BB63" s="312"/>
      <c r="BC63" s="312"/>
      <c r="BD63" s="312"/>
      <c r="BE63" s="312"/>
      <c r="BF63" s="312"/>
      <c r="BG63" s="312"/>
      <c r="BH63" s="312"/>
      <c r="BI63" s="312"/>
      <c r="BJ63" s="312"/>
      <c r="BK63" s="312"/>
      <c r="BL63" s="312"/>
      <c r="BM63" s="312"/>
      <c r="BN63" s="312"/>
      <c r="BO63" s="312"/>
      <c r="BP63" s="312"/>
      <c r="BQ63" s="312"/>
      <c r="BR63" s="312"/>
      <c r="BS63" s="312"/>
      <c r="BT63" s="312"/>
      <c r="BU63" s="312"/>
      <c r="BV63" s="312"/>
      <c r="BW63" s="312"/>
      <c r="BX63" s="312"/>
      <c r="BY63" s="312"/>
      <c r="BZ63" s="312"/>
      <c r="CA63" s="312"/>
      <c r="CB63" s="312"/>
      <c r="CC63" s="312"/>
      <c r="CD63" s="312"/>
      <c r="CE63" s="312"/>
      <c r="CF63" s="312"/>
      <c r="CG63" s="312"/>
      <c r="CH63" s="312"/>
      <c r="CI63" s="312"/>
      <c r="CJ63" s="312"/>
      <c r="CK63" s="312"/>
      <c r="CL63" s="312"/>
      <c r="CM63" s="312"/>
      <c r="CN63" s="245"/>
      <c r="CO63" s="246"/>
      <c r="CP63" s="246"/>
      <c r="CQ63" s="247"/>
    </row>
    <row r="64" spans="12:158" ht="15.75" customHeight="1" x14ac:dyDescent="0.3">
      <c r="X64" s="261"/>
      <c r="AB64" s="312" t="s">
        <v>160</v>
      </c>
      <c r="AC64" s="313" t="e">
        <f>IF(AND(AB58=2,AD57&gt;1),20,10)</f>
        <v>#N/A</v>
      </c>
      <c r="AD64" s="263">
        <f>IF(ISERROR(AC64),0,AC64)</f>
        <v>0</v>
      </c>
      <c r="AE64" s="312"/>
      <c r="AF64" s="312" t="s">
        <v>160</v>
      </c>
      <c r="AG64" s="313" t="e">
        <f>IF(AND(AF58=2,AH57&gt;1),20,10)</f>
        <v>#N/A</v>
      </c>
      <c r="AH64" s="263">
        <f>IF(ISERROR(AG64),0,AG64)</f>
        <v>0</v>
      </c>
      <c r="AI64" s="312"/>
      <c r="AJ64" s="312" t="s">
        <v>160</v>
      </c>
      <c r="AK64" s="313" t="e">
        <f>IF(AND(AJ58=2,AL57&gt;1),20,10)</f>
        <v>#N/A</v>
      </c>
      <c r="AL64" s="263">
        <f>IF(ISERROR(AK64),0,AK64)</f>
        <v>0</v>
      </c>
      <c r="AM64" s="312"/>
      <c r="AN64" s="312" t="s">
        <v>160</v>
      </c>
      <c r="AO64" s="313" t="e">
        <f>IF(AND(AN58=2,AP57&gt;1),20,10)</f>
        <v>#N/A</v>
      </c>
      <c r="AP64" s="263">
        <f>IF(ISERROR(AO64),0,AO64)</f>
        <v>0</v>
      </c>
      <c r="AQ64" s="312"/>
      <c r="AR64" s="312" t="s">
        <v>160</v>
      </c>
      <c r="AS64" s="313" t="e">
        <f>IF(AND(AR58=2,AT57&gt;1),20,10)</f>
        <v>#N/A</v>
      </c>
      <c r="AT64" s="263">
        <f>IF(ISERROR(AS64),0,AS64)</f>
        <v>0</v>
      </c>
      <c r="AU64" s="312"/>
      <c r="AV64" s="312" t="s">
        <v>160</v>
      </c>
      <c r="AW64" s="313" t="e">
        <f>IF(AND(AV58=2,AX57&gt;1),20,10)</f>
        <v>#N/A</v>
      </c>
      <c r="AX64" s="263">
        <f>IF(ISERROR(AW64),0,AW64)</f>
        <v>0</v>
      </c>
      <c r="AY64" s="312"/>
      <c r="AZ64" s="312" t="s">
        <v>160</v>
      </c>
      <c r="BA64" s="313" t="e">
        <f>IF(AND(AZ58=2,BB57&gt;1),20,10)</f>
        <v>#N/A</v>
      </c>
      <c r="BB64" s="263">
        <f>IF(ISERROR(BA64),0,BA64)</f>
        <v>0</v>
      </c>
      <c r="BC64" s="312"/>
      <c r="BD64" s="312" t="s">
        <v>160</v>
      </c>
      <c r="BE64" s="313" t="e">
        <f>IF(AND(BD58=2,BF57&gt;1),20,10)</f>
        <v>#N/A</v>
      </c>
      <c r="BF64" s="263">
        <f>IF(ISERROR(BE64),0,BE64)</f>
        <v>0</v>
      </c>
      <c r="BG64" s="312"/>
      <c r="BH64" s="312" t="s">
        <v>160</v>
      </c>
      <c r="BI64" s="313" t="e">
        <f>IF(AND(BH58=2,BJ57&gt;1),20,10)</f>
        <v>#N/A</v>
      </c>
      <c r="BJ64" s="263">
        <f>IF(ISERROR(BI64),0,BI64)</f>
        <v>0</v>
      </c>
      <c r="BK64" s="312"/>
      <c r="BL64" s="312" t="s">
        <v>160</v>
      </c>
      <c r="BM64" s="313" t="e">
        <f>IF(AND(BL58=2,BN57&gt;1),20,10)</f>
        <v>#N/A</v>
      </c>
      <c r="BN64" s="263">
        <f>IF(ISERROR(BM64),0,BM64)</f>
        <v>0</v>
      </c>
      <c r="BO64" s="312"/>
      <c r="BP64" s="312" t="s">
        <v>160</v>
      </c>
      <c r="BQ64" s="313" t="e">
        <f>IF(AND(BP58=2,BR57&gt;1),20,10)</f>
        <v>#N/A</v>
      </c>
      <c r="BR64" s="263">
        <f>IF(ISERROR(BQ64),0,BQ64)</f>
        <v>0</v>
      </c>
      <c r="BS64" s="312"/>
      <c r="BT64" s="312" t="s">
        <v>160</v>
      </c>
      <c r="BU64" s="313" t="e">
        <f>IF(AND(BT58=2,BV57&gt;1),20,10)</f>
        <v>#N/A</v>
      </c>
      <c r="BV64" s="263">
        <f>IF(ISERROR(BU64),0,BU64)</f>
        <v>0</v>
      </c>
      <c r="BW64" s="312"/>
      <c r="BX64" s="312" t="s">
        <v>160</v>
      </c>
      <c r="BY64" s="313" t="e">
        <f>IF(AND(BX58=2,BZ57&gt;1),20,10)</f>
        <v>#N/A</v>
      </c>
      <c r="BZ64" s="263">
        <f>IF(ISERROR(BY64),0,BY64)</f>
        <v>0</v>
      </c>
      <c r="CA64" s="312"/>
      <c r="CB64" s="312" t="s">
        <v>160</v>
      </c>
      <c r="CC64" s="313" t="e">
        <f>IF(AND(CB58=2,CD57&gt;1),20,10)</f>
        <v>#N/A</v>
      </c>
      <c r="CD64" s="263">
        <f>IF(ISERROR(CC64),0,CC64)</f>
        <v>0</v>
      </c>
      <c r="CE64" s="312"/>
      <c r="CF64" s="312" t="s">
        <v>160</v>
      </c>
      <c r="CG64" s="313" t="e">
        <f>IF(AND(CF58=2,CH57&gt;1),20,10)</f>
        <v>#N/A</v>
      </c>
      <c r="CH64" s="263">
        <f>IF(ISERROR(CG64),0,CG64)</f>
        <v>0</v>
      </c>
      <c r="CI64" s="312"/>
      <c r="CJ64" s="312" t="s">
        <v>160</v>
      </c>
      <c r="CK64" s="313" t="e">
        <f>IF(AND(CJ58=2,CL57&gt;1),20,10)</f>
        <v>#N/A</v>
      </c>
      <c r="CL64" s="263">
        <f>IF(ISERROR(CK64),0,CK64)</f>
        <v>0</v>
      </c>
      <c r="CM64" s="312"/>
      <c r="CN64" s="198"/>
      <c r="CO64" s="199"/>
      <c r="CP64" s="199"/>
      <c r="CQ64" s="197"/>
    </row>
    <row r="65" spans="12:95" ht="17.25" customHeight="1" x14ac:dyDescent="0.3">
      <c r="M65" s="260">
        <f>+Tirage!A9</f>
        <v>4</v>
      </c>
      <c r="N65" s="260"/>
      <c r="O65" s="260" t="str">
        <f>IF(Tirage!B9="","",Tirage!B9)</f>
        <v>BLANCHARD THIERRY</v>
      </c>
      <c r="P65" s="279">
        <f ca="1">IF(O65="","",SUMIF($C$6:$K$35,O65,$K$6:$K$35))</f>
        <v>0</v>
      </c>
      <c r="Q65" s="279">
        <f ca="1">IF(O65="","",SUMIF($C$6:$K$35,O65,$E$6:$E$35))</f>
        <v>134</v>
      </c>
      <c r="R65" s="279">
        <f ca="1">IF(O65="","",SUMIF($C$6:$K$35,O65,$F$6:$F$35))</f>
        <v>62</v>
      </c>
      <c r="S65" s="277">
        <f ca="1">IF(O65="","",Q65/R65)</f>
        <v>2.161290322580645</v>
      </c>
      <c r="T65" s="276">
        <f ca="1">IF(O65="","",P65+(S65/10000))</f>
        <v>2.1612903225806451E-4</v>
      </c>
      <c r="U65" s="231"/>
      <c r="V65" s="252"/>
      <c r="W65" s="252"/>
      <c r="X65" s="261">
        <f ca="1">IF(O65="","",RANK(T65,$T$61:$T$67))</f>
        <v>5</v>
      </c>
      <c r="Y65" s="279">
        <f t="shared" si="100"/>
        <v>4</v>
      </c>
      <c r="AB65" s="314" t="s">
        <v>161</v>
      </c>
      <c r="AC65" s="314" t="e">
        <f>IF(AND(AC64=0,AD57&gt;1,AB58=0),Tirage!$D$55,0)</f>
        <v>#N/A</v>
      </c>
      <c r="AD65" s="264">
        <f>IF(ISERROR(AC65),0,AC65)</f>
        <v>0</v>
      </c>
      <c r="AE65" s="314"/>
      <c r="AF65" s="245"/>
      <c r="AG65" s="314" t="e">
        <f>IF(AND(AG64=0,AH57&gt;1,AF58=0),Tirage!$D$55,0)</f>
        <v>#N/A</v>
      </c>
      <c r="AH65" s="246">
        <f>IF(ISERROR(AG65),0,AG65)</f>
        <v>0</v>
      </c>
      <c r="AI65" s="247"/>
      <c r="AJ65" s="245"/>
      <c r="AK65" s="314" t="e">
        <f>IF(AND(AK64=0,AL57&gt;1,AJ58=0),Tirage!$D$55,0)</f>
        <v>#N/A</v>
      </c>
      <c r="AL65" s="246">
        <f>IF(ISERROR(AK65),0,AK65)</f>
        <v>0</v>
      </c>
      <c r="AM65" s="247"/>
      <c r="AN65" s="245"/>
      <c r="AO65" s="314" t="e">
        <f>IF(AND(AO64=0,AP57&gt;1,AN58=0),Tirage!$D$55,0)</f>
        <v>#N/A</v>
      </c>
      <c r="AP65" s="246">
        <f>IF(ISERROR(AO65),0,AO65)</f>
        <v>0</v>
      </c>
      <c r="AQ65" s="247"/>
      <c r="AR65" s="245"/>
      <c r="AS65" s="314" t="e">
        <f>IF(AND(AS64=0,AT57&gt;1,AR58=0),Tirage!$D$55,0)</f>
        <v>#N/A</v>
      </c>
      <c r="AT65" s="246">
        <f>IF(ISERROR(AS65),0,AS65)</f>
        <v>0</v>
      </c>
      <c r="AU65" s="247"/>
      <c r="AV65" s="245"/>
      <c r="AW65" s="314" t="e">
        <f>IF(AND(AW64=0,AX57&gt;1,AV58=0),Tirage!$D$55,0)</f>
        <v>#N/A</v>
      </c>
      <c r="AX65" s="246">
        <f>IF(ISERROR(AW65),0,AW65)</f>
        <v>0</v>
      </c>
      <c r="AY65" s="247"/>
      <c r="AZ65" s="245"/>
      <c r="BA65" s="314" t="e">
        <f>IF(AND(BA64=0,BB57&gt;1,AZ58=0),Tirage!$D$55,0)</f>
        <v>#N/A</v>
      </c>
      <c r="BB65" s="246">
        <f>IF(ISERROR(BA65),0,BA65)</f>
        <v>0</v>
      </c>
      <c r="BC65" s="247"/>
      <c r="BD65" s="245"/>
      <c r="BE65" s="314" t="e">
        <f>IF(AND(BE64=0,BF57&gt;1,BD58=0),Tirage!$D$55,0)</f>
        <v>#N/A</v>
      </c>
      <c r="BF65" s="246">
        <f>IF(ISERROR(BE65),0,BE65)</f>
        <v>0</v>
      </c>
      <c r="BG65" s="247"/>
      <c r="BH65" s="245"/>
      <c r="BI65" s="314" t="e">
        <f>IF(AND(BI64=0,BJ57&gt;1,BH58=0),Tirage!$D$55,0)</f>
        <v>#N/A</v>
      </c>
      <c r="BJ65" s="246">
        <f>IF(ISERROR(BI65),0,BI65)</f>
        <v>0</v>
      </c>
      <c r="BK65" s="247"/>
      <c r="BL65" s="245"/>
      <c r="BM65" s="314" t="e">
        <f>IF(AND(BM64=0,BN57&gt;1,BL58=0),Tirage!$D$55,0)</f>
        <v>#N/A</v>
      </c>
      <c r="BN65" s="246">
        <f>IF(ISERROR(BM65),0,BM65)</f>
        <v>0</v>
      </c>
      <c r="BO65" s="247"/>
      <c r="BP65" s="245"/>
      <c r="BQ65" s="314" t="e">
        <f>IF(AND(BQ64=0,BR57&gt;1,BP58=0),Tirage!$D$55,0)</f>
        <v>#N/A</v>
      </c>
      <c r="BR65" s="246">
        <f>IF(ISERROR(BQ65),0,BQ65)</f>
        <v>0</v>
      </c>
      <c r="BS65" s="247"/>
      <c r="BT65" s="245"/>
      <c r="BU65" s="314" t="e">
        <f>IF(AND(BU64=0,BV57&gt;1,BT58=0),Tirage!$D$55,0)</f>
        <v>#N/A</v>
      </c>
      <c r="BV65" s="246">
        <f>IF(ISERROR(BU65),0,BU65)</f>
        <v>0</v>
      </c>
      <c r="BW65" s="247"/>
      <c r="BX65" s="245"/>
      <c r="BY65" s="314" t="e">
        <f>IF(AND(BY64=0,BZ57&gt;1,BX58=0),Tirage!$D$55,0)</f>
        <v>#N/A</v>
      </c>
      <c r="BZ65" s="246">
        <f>IF(ISERROR(BY65),0,BY65)</f>
        <v>0</v>
      </c>
      <c r="CA65" s="247"/>
      <c r="CB65" s="245"/>
      <c r="CC65" s="314" t="e">
        <f>IF(AND(CC64=0,CD57&gt;1,CB58=0),Tirage!$D$55,0)</f>
        <v>#N/A</v>
      </c>
      <c r="CD65" s="246">
        <f>IF(ISERROR(CC65),0,CC65)</f>
        <v>0</v>
      </c>
      <c r="CE65" s="247"/>
      <c r="CF65" s="245"/>
      <c r="CG65" s="314" t="e">
        <f>IF(AND(CG64=0,CH57&gt;1,CF58=0),Tirage!$D$55,0)</f>
        <v>#N/A</v>
      </c>
      <c r="CH65" s="246">
        <f>IF(ISERROR(CG65),0,CG65)</f>
        <v>0</v>
      </c>
      <c r="CI65" s="247"/>
      <c r="CJ65" s="245"/>
      <c r="CK65" s="314" t="e">
        <f>IF(AND(CK64=0,CL57&gt;1,CJ58=0),Tirage!$D$55,0)</f>
        <v>#N/A</v>
      </c>
      <c r="CL65" s="246">
        <f>IF(ISERROR(CK65),0,CK65)</f>
        <v>0</v>
      </c>
      <c r="CM65" s="247"/>
      <c r="CN65" s="198"/>
      <c r="CO65" s="199"/>
      <c r="CP65" s="199"/>
      <c r="CQ65" s="197"/>
    </row>
    <row r="66" spans="12:95" ht="15.75" customHeight="1" x14ac:dyDescent="0.3">
      <c r="M66" s="260">
        <f>+Tirage!A10</f>
        <v>5</v>
      </c>
      <c r="N66" s="260"/>
      <c r="O66" s="260" t="str">
        <f>IF(Tirage!B10="","",Tirage!B10)</f>
        <v>LACHOQUE DANIEL</v>
      </c>
      <c r="P66" s="279">
        <f ca="1">IF(O66="","",SUMIF($C$6:$K$35,O66,$K$6:$K$35))</f>
        <v>3</v>
      </c>
      <c r="Q66" s="279">
        <f ca="1">IF(O66="","",SUMIF($C$6:$K$35,O66,$E$6:$E$35))</f>
        <v>201</v>
      </c>
      <c r="R66" s="279">
        <f ca="1">IF(O66="","",SUMIF($C$6:$K$35,O66,$F$6:$F$35))</f>
        <v>53</v>
      </c>
      <c r="S66" s="277">
        <f ca="1">IF(O66="","",Q66/R66)</f>
        <v>3.7924528301886791</v>
      </c>
      <c r="T66" s="276">
        <f ca="1">IF(O66="","",P66+(S66/10000))</f>
        <v>3.0003792452830189</v>
      </c>
      <c r="X66" s="261">
        <f ca="1">IF(O66="","",RANK(T66,$T$61:$T$67))</f>
        <v>3</v>
      </c>
      <c r="Y66" s="279">
        <f t="shared" si="100"/>
        <v>5</v>
      </c>
      <c r="AF66" s="198"/>
      <c r="AG66" s="199"/>
      <c r="AH66" s="199"/>
      <c r="AI66" s="197"/>
      <c r="AJ66" s="198"/>
      <c r="AK66" s="199"/>
      <c r="AL66" s="199"/>
      <c r="AM66" s="197"/>
      <c r="AN66" s="198"/>
      <c r="AO66" s="199"/>
      <c r="AP66" s="199"/>
      <c r="AQ66" s="197"/>
      <c r="AR66" s="198"/>
      <c r="AS66" s="199"/>
      <c r="AT66" s="199"/>
      <c r="AU66" s="197"/>
      <c r="AV66" s="198"/>
      <c r="AW66" s="199"/>
      <c r="AX66" s="199"/>
      <c r="AY66" s="197"/>
      <c r="AZ66" s="198"/>
      <c r="BA66" s="199"/>
      <c r="BB66" s="199"/>
      <c r="BC66" s="197"/>
      <c r="BD66" s="198"/>
      <c r="BE66" s="199"/>
      <c r="BF66" s="199"/>
      <c r="BG66" s="197"/>
      <c r="BH66" s="198"/>
      <c r="BI66" s="199"/>
      <c r="BJ66" s="199"/>
      <c r="BK66" s="197"/>
      <c r="BL66" s="198"/>
      <c r="BM66" s="199"/>
      <c r="BN66" s="199"/>
      <c r="BO66" s="197"/>
      <c r="BP66" s="198"/>
      <c r="BQ66" s="199"/>
      <c r="BR66" s="199"/>
      <c r="BS66" s="197"/>
      <c r="BT66" s="198"/>
      <c r="BU66" s="199"/>
      <c r="BV66" s="199"/>
      <c r="BW66" s="197"/>
      <c r="BX66" s="198"/>
      <c r="BY66" s="199"/>
      <c r="BZ66" s="199"/>
      <c r="CA66" s="197"/>
      <c r="CB66" s="198"/>
      <c r="CC66" s="199"/>
      <c r="CD66" s="199"/>
      <c r="CE66" s="197"/>
      <c r="CF66" s="198"/>
      <c r="CG66" s="199"/>
      <c r="CH66" s="199"/>
      <c r="CI66" s="197"/>
      <c r="CJ66" s="198"/>
      <c r="CK66" s="199"/>
      <c r="CL66" s="199"/>
      <c r="CM66" s="197"/>
      <c r="CN66" s="198"/>
      <c r="CO66" s="199"/>
      <c r="CP66" s="199"/>
      <c r="CQ66" s="197"/>
    </row>
    <row r="67" spans="12:95" ht="16.5" customHeight="1" x14ac:dyDescent="0.3">
      <c r="M67" s="260">
        <f>+Tirage!A11</f>
        <v>0</v>
      </c>
      <c r="N67" s="260"/>
      <c r="O67" s="260" t="str">
        <f>IF(Tirage!B11="","",Tirage!B11)</f>
        <v/>
      </c>
      <c r="P67" s="279" t="str">
        <f>IF(O67="","",SUMIF($C$6:$K$35,O67,$K$6:$K$35))</f>
        <v/>
      </c>
      <c r="Q67" s="279" t="str">
        <f>IF(O67="","",SUMIF($C$6:$K$35,O67,$E$6:$E$35))</f>
        <v/>
      </c>
      <c r="R67" s="279" t="str">
        <f>IF(O67="","",SUMIF($C$6:$K$35,O67,$F$6:$F$35))</f>
        <v/>
      </c>
      <c r="S67" s="277" t="str">
        <f>IF(O67="","",Q67/R67)</f>
        <v/>
      </c>
      <c r="T67" s="276" t="str">
        <f>IF(O67="","",P67+(S67/10000))</f>
        <v/>
      </c>
      <c r="X67" s="261" t="str">
        <f>IF(O67="","",RANK(T67,$T$61:$T$67))</f>
        <v/>
      </c>
      <c r="Y67" s="279">
        <f t="shared" si="100"/>
        <v>0</v>
      </c>
      <c r="AF67" s="198"/>
      <c r="AG67" s="199"/>
      <c r="AH67" s="199"/>
      <c r="AI67" s="197"/>
      <c r="AJ67" s="198"/>
      <c r="AK67" s="199"/>
      <c r="AL67" s="199"/>
      <c r="AM67" s="197"/>
      <c r="AN67" s="198"/>
      <c r="AO67" s="199"/>
      <c r="AP67" s="199"/>
      <c r="AQ67" s="197"/>
      <c r="AR67" s="198"/>
      <c r="AS67" s="199"/>
      <c r="AT67" s="199"/>
      <c r="AU67" s="197"/>
      <c r="AV67" s="198"/>
      <c r="AW67" s="199"/>
      <c r="AX67" s="199"/>
      <c r="AY67" s="197"/>
      <c r="AZ67" s="198"/>
      <c r="BA67" s="199"/>
      <c r="BB67" s="199"/>
      <c r="BC67" s="197"/>
      <c r="BD67" s="198"/>
      <c r="BE67" s="199"/>
      <c r="BF67" s="199"/>
      <c r="BG67" s="197"/>
      <c r="BH67" s="198"/>
      <c r="BI67" s="199"/>
      <c r="BJ67" s="199"/>
      <c r="BK67" s="197"/>
      <c r="BL67" s="198"/>
      <c r="BM67" s="199"/>
      <c r="BN67" s="199"/>
      <c r="BO67" s="197"/>
      <c r="BP67" s="198"/>
      <c r="BQ67" s="199"/>
      <c r="BR67" s="199"/>
      <c r="BS67" s="197"/>
      <c r="BT67" s="198"/>
      <c r="BU67" s="199"/>
      <c r="BV67" s="199"/>
      <c r="BW67" s="197"/>
      <c r="BX67" s="198"/>
      <c r="BY67" s="199"/>
      <c r="BZ67" s="199"/>
      <c r="CA67" s="197"/>
      <c r="CB67" s="198"/>
      <c r="CC67" s="199"/>
      <c r="CD67" s="199"/>
      <c r="CE67" s="197"/>
      <c r="CF67" s="198"/>
      <c r="CG67" s="199"/>
      <c r="CH67" s="199"/>
      <c r="CI67" s="197"/>
      <c r="CJ67" s="198"/>
      <c r="CK67" s="199"/>
      <c r="CL67" s="199"/>
      <c r="CM67" s="197"/>
      <c r="CN67" s="198"/>
      <c r="CO67" s="199"/>
      <c r="CP67" s="199"/>
      <c r="CQ67" s="197"/>
    </row>
    <row r="68" spans="12:95" ht="15.75" customHeight="1" x14ac:dyDescent="0.3">
      <c r="T68" s="279">
        <f t="shared" ref="T68" si="101">+P68+(S68/100000)</f>
        <v>0</v>
      </c>
      <c r="AF68" s="198"/>
      <c r="AG68" s="199"/>
      <c r="AH68" s="199"/>
      <c r="AI68" s="197"/>
      <c r="AJ68" s="198"/>
      <c r="AK68" s="199"/>
      <c r="AL68" s="199"/>
      <c r="AM68" s="197"/>
      <c r="AN68" s="198"/>
      <c r="AO68" s="199"/>
      <c r="AP68" s="199"/>
      <c r="AQ68" s="197"/>
      <c r="AR68" s="198"/>
      <c r="AS68" s="199"/>
      <c r="AT68" s="199"/>
      <c r="AU68" s="197"/>
      <c r="AV68" s="198"/>
      <c r="AW68" s="199"/>
      <c r="AX68" s="199"/>
      <c r="AY68" s="197"/>
      <c r="AZ68" s="198"/>
      <c r="BA68" s="199"/>
      <c r="BB68" s="199"/>
      <c r="BC68" s="197"/>
      <c r="BD68" s="198"/>
      <c r="BE68" s="199"/>
      <c r="BF68" s="199"/>
      <c r="BG68" s="197"/>
      <c r="BH68" s="198"/>
      <c r="BI68" s="199"/>
      <c r="BJ68" s="199"/>
      <c r="BK68" s="197"/>
      <c r="BL68" s="198"/>
      <c r="BM68" s="199"/>
      <c r="BN68" s="199"/>
      <c r="BO68" s="197"/>
      <c r="BP68" s="198"/>
      <c r="BQ68" s="199"/>
      <c r="BR68" s="199"/>
      <c r="BS68" s="197"/>
      <c r="BT68" s="198"/>
      <c r="BU68" s="199"/>
      <c r="BV68" s="199"/>
      <c r="BW68" s="197"/>
      <c r="BX68" s="198"/>
      <c r="BY68" s="199"/>
      <c r="BZ68" s="199"/>
      <c r="CA68" s="197"/>
      <c r="CB68" s="198"/>
      <c r="CC68" s="199"/>
      <c r="CD68" s="199"/>
      <c r="CE68" s="197"/>
      <c r="CF68" s="198"/>
      <c r="CG68" s="199"/>
      <c r="CH68" s="199"/>
      <c r="CI68" s="197"/>
      <c r="CJ68" s="198"/>
      <c r="CK68" s="199"/>
      <c r="CL68" s="199"/>
      <c r="CM68" s="197"/>
      <c r="CN68" s="255" t="e">
        <f>VLOOKUP(CO$2,$O$14:$X$18,3,FALSE)</f>
        <v>#N/A</v>
      </c>
      <c r="CO68" s="256"/>
      <c r="CP68" s="256">
        <f>IF(ISERROR(CN68),0,CN68)</f>
        <v>0</v>
      </c>
      <c r="CQ68" s="257">
        <f>CQ69*CP68</f>
        <v>0</v>
      </c>
    </row>
    <row r="69" spans="12:95" ht="16.5" customHeight="1" x14ac:dyDescent="0.3">
      <c r="P69" s="279" t="s">
        <v>14</v>
      </c>
      <c r="Q69" s="279" t="s">
        <v>422</v>
      </c>
      <c r="R69" s="279" t="s">
        <v>423</v>
      </c>
      <c r="S69" s="279" t="s">
        <v>151</v>
      </c>
      <c r="T69" s="279" t="s">
        <v>418</v>
      </c>
      <c r="U69" s="279" t="s">
        <v>109</v>
      </c>
      <c r="AF69" s="198"/>
      <c r="AG69" s="199"/>
      <c r="AH69" s="199"/>
      <c r="AI69" s="197"/>
      <c r="AJ69" s="198"/>
      <c r="AK69" s="199"/>
      <c r="AL69" s="199"/>
      <c r="AM69" s="197"/>
      <c r="AN69" s="198"/>
      <c r="AO69" s="199"/>
      <c r="AP69" s="199"/>
      <c r="AQ69" s="197"/>
      <c r="AR69" s="198"/>
      <c r="AS69" s="199"/>
      <c r="AT69" s="199"/>
      <c r="AU69" s="197"/>
      <c r="AV69" s="198"/>
      <c r="AW69" s="199"/>
      <c r="AX69" s="199"/>
      <c r="AY69" s="197"/>
      <c r="AZ69" s="198"/>
      <c r="BA69" s="199"/>
      <c r="BB69" s="199"/>
      <c r="BC69" s="197"/>
      <c r="BD69" s="198"/>
      <c r="BE69" s="199"/>
      <c r="BF69" s="199"/>
      <c r="BG69" s="197"/>
      <c r="BH69" s="198"/>
      <c r="BI69" s="199"/>
      <c r="BJ69" s="199"/>
      <c r="BK69" s="197"/>
      <c r="BL69" s="198"/>
      <c r="BM69" s="199"/>
      <c r="BN69" s="199"/>
      <c r="BO69" s="197"/>
      <c r="BP69" s="198"/>
      <c r="BQ69" s="199"/>
      <c r="BR69" s="199"/>
      <c r="BS69" s="197"/>
      <c r="BT69" s="198"/>
      <c r="BU69" s="199"/>
      <c r="BV69" s="199"/>
      <c r="BW69" s="197"/>
      <c r="BX69" s="198"/>
      <c r="BY69" s="199"/>
      <c r="BZ69" s="199"/>
      <c r="CA69" s="197"/>
      <c r="CB69" s="198"/>
      <c r="CC69" s="199"/>
      <c r="CD69" s="199"/>
      <c r="CE69" s="197"/>
      <c r="CF69" s="198"/>
      <c r="CG69" s="199"/>
      <c r="CH69" s="199"/>
      <c r="CI69" s="197"/>
      <c r="CJ69" s="198"/>
      <c r="CK69" s="199"/>
      <c r="CL69" s="199"/>
      <c r="CM69" s="197"/>
      <c r="CN69" s="255" t="e">
        <f>VLOOKUP(CO$2,$O$14:$X$18,7,FALSE)</f>
        <v>#N/A</v>
      </c>
      <c r="CO69" s="256"/>
      <c r="CP69" s="256">
        <f>IF(ISERROR(CN69),0,CN69)</f>
        <v>0</v>
      </c>
      <c r="CQ69" s="257">
        <f>IF(CP69="*",Lieu,1)</f>
        <v>1</v>
      </c>
    </row>
    <row r="70" spans="12:95" ht="16.5" customHeight="1" x14ac:dyDescent="0.3">
      <c r="L70" s="315" t="e">
        <f>RANK(V70,$V$70:$V$71)+4</f>
        <v>#VALUE!</v>
      </c>
      <c r="M70" s="279" t="str">
        <f>+M14</f>
        <v>@</v>
      </c>
      <c r="O70" s="279" t="str">
        <f>+O14</f>
        <v xml:space="preserve"> </v>
      </c>
      <c r="P70" s="279">
        <f t="shared" ref="P70:S70" si="102">+P14</f>
        <v>80</v>
      </c>
      <c r="Q70" s="279">
        <f t="shared" si="102"/>
        <v>0</v>
      </c>
      <c r="R70" s="279">
        <f t="shared" si="102"/>
        <v>0</v>
      </c>
      <c r="S70" s="279">
        <f t="shared" si="102"/>
        <v>0</v>
      </c>
      <c r="T70" s="279" t="str">
        <f>+X14</f>
        <v/>
      </c>
      <c r="U70" s="279">
        <f>+Y14</f>
        <v>0</v>
      </c>
      <c r="V70" s="279" t="e">
        <f>+T70+U70/1000</f>
        <v>#VALUE!</v>
      </c>
      <c r="Z70" s="316"/>
      <c r="AA70" s="199" t="s">
        <v>162</v>
      </c>
      <c r="AB70" s="255" t="e">
        <f>VLOOKUP(AC$2,$O$28:$Y$29,3,FALSE)</f>
        <v>#N/A</v>
      </c>
      <c r="AC70" s="256"/>
      <c r="AD70" s="256">
        <f>IF(ISERROR(AB70),0,AB70)</f>
        <v>0</v>
      </c>
      <c r="AE70" s="257">
        <f>AE71*AD70</f>
        <v>0</v>
      </c>
      <c r="AF70" s="255" t="e">
        <f>VLOOKUP(AG$2,$O$28:$Y$29,3,FALSE)</f>
        <v>#N/A</v>
      </c>
      <c r="AG70" s="256"/>
      <c r="AH70" s="256">
        <f>IF(ISERROR(AF70),0,AF70)</f>
        <v>0</v>
      </c>
      <c r="AI70" s="257">
        <f>AI71*AH70</f>
        <v>0</v>
      </c>
      <c r="AJ70" s="255" t="e">
        <f>VLOOKUP(AK$2,$O$28:$Y$29,3,FALSE)</f>
        <v>#N/A</v>
      </c>
      <c r="AK70" s="256"/>
      <c r="AL70" s="256">
        <f>IF(ISERROR(AJ70),0,AJ70)</f>
        <v>0</v>
      </c>
      <c r="AM70" s="257">
        <f>AM71*AL70</f>
        <v>0</v>
      </c>
      <c r="AN70" s="255" t="e">
        <f>VLOOKUP(AO$2,$O$28:$Y$29,3,FALSE)</f>
        <v>#N/A</v>
      </c>
      <c r="AO70" s="256"/>
      <c r="AP70" s="256">
        <f>IF(ISERROR(AN70),0,AN70)</f>
        <v>0</v>
      </c>
      <c r="AQ70" s="257">
        <f>AQ71*AP70</f>
        <v>0</v>
      </c>
      <c r="AR70" s="255" t="e">
        <f>VLOOKUP(AS$2,$O$28:$Y$29,3,FALSE)</f>
        <v>#N/A</v>
      </c>
      <c r="AS70" s="256"/>
      <c r="AT70" s="256">
        <f>IF(ISERROR(AR70),0,AR70)</f>
        <v>0</v>
      </c>
      <c r="AU70" s="257">
        <f>AU71*AT70</f>
        <v>0</v>
      </c>
      <c r="AV70" s="255" t="e">
        <f>VLOOKUP(AW$2,$O$28:$Y$29,3,FALSE)</f>
        <v>#N/A</v>
      </c>
      <c r="AW70" s="256"/>
      <c r="AX70" s="256">
        <f>IF(ISERROR(AV70),0,AV70)</f>
        <v>0</v>
      </c>
      <c r="AY70" s="257">
        <f>AY71*AX70</f>
        <v>0</v>
      </c>
      <c r="AZ70" s="255" t="e">
        <f>VLOOKUP(BA$2,$O$28:$Y$29,3,FALSE)</f>
        <v>#N/A</v>
      </c>
      <c r="BA70" s="256"/>
      <c r="BB70" s="256">
        <f>IF(ISERROR(AZ70),0,AZ70)</f>
        <v>0</v>
      </c>
      <c r="BC70" s="257">
        <f>BC71*BB70</f>
        <v>0</v>
      </c>
      <c r="BD70" s="255" t="e">
        <f>VLOOKUP(BE$2,$O$28:$Y$29,3,FALSE)</f>
        <v>#N/A</v>
      </c>
      <c r="BE70" s="256"/>
      <c r="BF70" s="256">
        <f>IF(ISERROR(BD70),0,BD70)</f>
        <v>0</v>
      </c>
      <c r="BG70" s="257">
        <f>BG71*BF70</f>
        <v>0</v>
      </c>
      <c r="BH70" s="255" t="e">
        <f>VLOOKUP(BI$2,$O$28:$Y$29,3,FALSE)</f>
        <v>#N/A</v>
      </c>
      <c r="BI70" s="256"/>
      <c r="BJ70" s="256">
        <f>IF(ISERROR(BH70),0,BH70)</f>
        <v>0</v>
      </c>
      <c r="BK70" s="257">
        <f>BK71*BJ70</f>
        <v>0</v>
      </c>
      <c r="BL70" s="255" t="e">
        <f>VLOOKUP(BM$2,$O$28:$Y$29,3,FALSE)</f>
        <v>#N/A</v>
      </c>
      <c r="BM70" s="256"/>
      <c r="BN70" s="256">
        <f>IF(ISERROR(BL70),0,BL70)</f>
        <v>0</v>
      </c>
      <c r="BO70" s="257">
        <f>BO71*BN70</f>
        <v>0</v>
      </c>
      <c r="BP70" s="255" t="e">
        <f>VLOOKUP(BQ$2,$O$28:$Y$29,3,FALSE)</f>
        <v>#N/A</v>
      </c>
      <c r="BQ70" s="256"/>
      <c r="BR70" s="256">
        <f>IF(ISERROR(BP70),0,BP70)</f>
        <v>0</v>
      </c>
      <c r="BS70" s="257">
        <f>BS71*BR70</f>
        <v>0</v>
      </c>
      <c r="BT70" s="255" t="e">
        <f>VLOOKUP(BU$2,$O$28:$Y$29,3,FALSE)</f>
        <v>#N/A</v>
      </c>
      <c r="BU70" s="256"/>
      <c r="BV70" s="256">
        <f>IF(ISERROR(BT70),0,BT70)</f>
        <v>0</v>
      </c>
      <c r="BW70" s="257">
        <f>BW71*BV70</f>
        <v>0</v>
      </c>
      <c r="BX70" s="255" t="e">
        <f>VLOOKUP(BY$2,$O$28:$Y$29,3,FALSE)</f>
        <v>#N/A</v>
      </c>
      <c r="BY70" s="256"/>
      <c r="BZ70" s="256">
        <f>IF(ISERROR(BX70),0,BX70)</f>
        <v>0</v>
      </c>
      <c r="CA70" s="257">
        <f>CA71*BZ70</f>
        <v>0</v>
      </c>
      <c r="CB70" s="255" t="e">
        <f>VLOOKUP(CC$2,$O$28:$Y$29,3,FALSE)</f>
        <v>#N/A</v>
      </c>
      <c r="CC70" s="256"/>
      <c r="CD70" s="256">
        <f>IF(ISERROR(CB70),0,CB70)</f>
        <v>0</v>
      </c>
      <c r="CE70" s="257">
        <f>CE71*CD70</f>
        <v>0</v>
      </c>
      <c r="CF70" s="255" t="e">
        <f>VLOOKUP(CG$2,$O$28:$Y$29,3,FALSE)</f>
        <v>#N/A</v>
      </c>
      <c r="CG70" s="256"/>
      <c r="CH70" s="256">
        <f>IF(ISERROR(CF70),0,CF70)</f>
        <v>0</v>
      </c>
      <c r="CI70" s="257">
        <f>CI71*CH70</f>
        <v>0</v>
      </c>
      <c r="CJ70" s="255" t="e">
        <f>VLOOKUP(CK$2,$O$28:$Y$29,3,FALSE)</f>
        <v>#N/A</v>
      </c>
      <c r="CK70" s="256"/>
      <c r="CL70" s="256">
        <f>IF(ISERROR(CJ70),0,CJ70)</f>
        <v>0</v>
      </c>
      <c r="CM70" s="257">
        <f>CM71*CL70</f>
        <v>0</v>
      </c>
      <c r="CN70" s="255"/>
      <c r="CO70" s="256"/>
      <c r="CP70" s="263">
        <f>CQ68</f>
        <v>0</v>
      </c>
      <c r="CQ70" s="257"/>
    </row>
    <row r="71" spans="12:95" ht="15.75" customHeight="1" x14ac:dyDescent="0.3">
      <c r="L71" s="315" t="e">
        <f>RANK(V71,$V$70:$V$71)+4</f>
        <v>#VALUE!</v>
      </c>
      <c r="M71" s="279" t="str">
        <f>+M15</f>
        <v>@</v>
      </c>
      <c r="O71" s="279" t="str">
        <f t="shared" ref="O71:S71" si="103">+O15</f>
        <v xml:space="preserve"> </v>
      </c>
      <c r="P71" s="279">
        <f>+P70</f>
        <v>80</v>
      </c>
      <c r="Q71" s="279">
        <f t="shared" si="103"/>
        <v>0</v>
      </c>
      <c r="R71" s="279" t="str">
        <f t="shared" si="103"/>
        <v/>
      </c>
      <c r="S71" s="279">
        <f t="shared" si="103"/>
        <v>0</v>
      </c>
      <c r="T71" s="279" t="str">
        <f>+X15</f>
        <v/>
      </c>
      <c r="U71" s="279">
        <f>+Y15</f>
        <v>0</v>
      </c>
      <c r="V71" s="279" t="e">
        <f>+T71+U71/1000</f>
        <v>#VALUE!</v>
      </c>
      <c r="Z71" s="316"/>
      <c r="AA71" s="199"/>
      <c r="AB71" s="255"/>
      <c r="AC71" s="256"/>
      <c r="AD71" s="256"/>
      <c r="AE71" s="257"/>
      <c r="AF71" s="255"/>
      <c r="AG71" s="256"/>
      <c r="AH71" s="256"/>
      <c r="AI71" s="257"/>
      <c r="AJ71" s="255"/>
      <c r="AK71" s="256"/>
      <c r="AL71" s="256"/>
      <c r="AM71" s="257"/>
      <c r="AN71" s="255"/>
      <c r="AO71" s="256"/>
      <c r="AP71" s="256"/>
      <c r="AQ71" s="257"/>
      <c r="AR71" s="255"/>
      <c r="AS71" s="256"/>
      <c r="AT71" s="256"/>
      <c r="AU71" s="257"/>
      <c r="AV71" s="255"/>
      <c r="AW71" s="256"/>
      <c r="AX71" s="256"/>
      <c r="AY71" s="257"/>
      <c r="AZ71" s="255"/>
      <c r="BA71" s="256"/>
      <c r="BB71" s="256"/>
      <c r="BC71" s="257"/>
      <c r="BD71" s="255"/>
      <c r="BE71" s="256"/>
      <c r="BF71" s="256"/>
      <c r="BG71" s="257"/>
      <c r="BH71" s="255"/>
      <c r="BI71" s="256"/>
      <c r="BJ71" s="256"/>
      <c r="BK71" s="257"/>
      <c r="BL71" s="255"/>
      <c r="BM71" s="256"/>
      <c r="BN71" s="256"/>
      <c r="BO71" s="257"/>
      <c r="BP71" s="255"/>
      <c r="BQ71" s="256"/>
      <c r="BR71" s="256"/>
      <c r="BS71" s="257"/>
      <c r="BT71" s="255"/>
      <c r="BU71" s="256"/>
      <c r="BV71" s="256"/>
      <c r="BW71" s="257"/>
      <c r="BX71" s="255"/>
      <c r="BY71" s="256"/>
      <c r="BZ71" s="256"/>
      <c r="CA71" s="257"/>
      <c r="CB71" s="255"/>
      <c r="CC71" s="256"/>
      <c r="CD71" s="256"/>
      <c r="CE71" s="257"/>
      <c r="CF71" s="255"/>
      <c r="CG71" s="256"/>
      <c r="CH71" s="256"/>
      <c r="CI71" s="257"/>
      <c r="CJ71" s="255"/>
      <c r="CK71" s="256"/>
      <c r="CL71" s="256"/>
      <c r="CM71" s="257"/>
      <c r="CN71" s="255" t="e">
        <f>VLOOKUP(CO$2,$O$14:$X$18,4,FALSE)</f>
        <v>#N/A</v>
      </c>
      <c r="CO71" s="256"/>
      <c r="CP71" s="256">
        <f>IF(ISERROR(CN71),0,CN71)</f>
        <v>0</v>
      </c>
      <c r="CQ71" s="257">
        <f>IF(ISERROR(CO71),0,CO71)</f>
        <v>0</v>
      </c>
    </row>
    <row r="72" spans="12:95" ht="15.75" customHeight="1" x14ac:dyDescent="0.3">
      <c r="Z72" s="316"/>
      <c r="AA72" s="199"/>
      <c r="AB72" s="255"/>
      <c r="AC72" s="256"/>
      <c r="AD72" s="258">
        <f>AD70</f>
        <v>0</v>
      </c>
      <c r="AE72" s="257"/>
      <c r="AF72" s="255"/>
      <c r="AG72" s="256"/>
      <c r="AH72" s="258">
        <f>AH70</f>
        <v>0</v>
      </c>
      <c r="AI72" s="257"/>
      <c r="AJ72" s="255"/>
      <c r="AK72" s="256"/>
      <c r="AL72" s="258">
        <f>AL70</f>
        <v>0</v>
      </c>
      <c r="AM72" s="257"/>
      <c r="AN72" s="255"/>
      <c r="AO72" s="256"/>
      <c r="AP72" s="258">
        <f>AP70</f>
        <v>0</v>
      </c>
      <c r="AQ72" s="257"/>
      <c r="AR72" s="255"/>
      <c r="AS72" s="256"/>
      <c r="AT72" s="258">
        <f>AT70</f>
        <v>0</v>
      </c>
      <c r="AU72" s="257"/>
      <c r="AV72" s="255"/>
      <c r="AW72" s="256"/>
      <c r="AX72" s="258">
        <f>AX70</f>
        <v>0</v>
      </c>
      <c r="AY72" s="257"/>
      <c r="AZ72" s="255"/>
      <c r="BA72" s="256"/>
      <c r="BB72" s="258">
        <f>BB70</f>
        <v>0</v>
      </c>
      <c r="BC72" s="257"/>
      <c r="BD72" s="255"/>
      <c r="BE72" s="256"/>
      <c r="BF72" s="258">
        <f>BF70</f>
        <v>0</v>
      </c>
      <c r="BG72" s="257"/>
      <c r="BH72" s="255"/>
      <c r="BI72" s="256"/>
      <c r="BJ72" s="258">
        <f>BJ70</f>
        <v>0</v>
      </c>
      <c r="BK72" s="257"/>
      <c r="BL72" s="255"/>
      <c r="BM72" s="256"/>
      <c r="BN72" s="258">
        <f>BN70</f>
        <v>0</v>
      </c>
      <c r="BO72" s="257"/>
      <c r="BP72" s="255"/>
      <c r="BQ72" s="256"/>
      <c r="BR72" s="258">
        <f>BR70</f>
        <v>0</v>
      </c>
      <c r="BS72" s="257"/>
      <c r="BT72" s="255"/>
      <c r="BU72" s="256"/>
      <c r="BV72" s="258">
        <f>BV70</f>
        <v>0</v>
      </c>
      <c r="BW72" s="257"/>
      <c r="BX72" s="255"/>
      <c r="BY72" s="256"/>
      <c r="BZ72" s="258">
        <f>BZ70</f>
        <v>0</v>
      </c>
      <c r="CA72" s="257"/>
      <c r="CB72" s="255"/>
      <c r="CC72" s="256"/>
      <c r="CD72" s="258">
        <f>CD70</f>
        <v>0</v>
      </c>
      <c r="CE72" s="257"/>
      <c r="CF72" s="255"/>
      <c r="CG72" s="256"/>
      <c r="CH72" s="258">
        <f>CH70</f>
        <v>0</v>
      </c>
      <c r="CI72" s="257"/>
      <c r="CJ72" s="255"/>
      <c r="CK72" s="256"/>
      <c r="CL72" s="258">
        <f>CL70</f>
        <v>0</v>
      </c>
      <c r="CM72" s="257"/>
      <c r="CN72" s="255"/>
      <c r="CO72" s="256"/>
      <c r="CP72" s="263">
        <f>CP71+CQ71</f>
        <v>0</v>
      </c>
      <c r="CQ72" s="257"/>
    </row>
    <row r="73" spans="12:95" ht="16.5" customHeight="1" x14ac:dyDescent="0.3">
      <c r="Z73" s="316"/>
      <c r="AA73" s="199" t="s">
        <v>163</v>
      </c>
      <c r="AB73" s="255" t="e">
        <f>VLOOKUP(AC$2,$O$28:$Y$29,4,FALSE)</f>
        <v>#N/A</v>
      </c>
      <c r="AC73" s="256"/>
      <c r="AD73" s="256">
        <f>IF(ISERROR(AB73),0,AB73)</f>
        <v>0</v>
      </c>
      <c r="AE73" s="257">
        <f>IF(ISERROR(AC73),0,AC73)</f>
        <v>0</v>
      </c>
      <c r="AF73" s="255" t="e">
        <f>VLOOKUP(AG$2,$O$28:$Y$29,4,FALSE)</f>
        <v>#N/A</v>
      </c>
      <c r="AG73" s="256"/>
      <c r="AH73" s="256">
        <f>IF(ISERROR(AF73),0,AF73)</f>
        <v>0</v>
      </c>
      <c r="AI73" s="257">
        <f>IF(ISERROR(AG73),0,AG73)</f>
        <v>0</v>
      </c>
      <c r="AJ73" s="255" t="e">
        <f>VLOOKUP(AK$2,$O$28:$Y$29,4,FALSE)</f>
        <v>#N/A</v>
      </c>
      <c r="AK73" s="256"/>
      <c r="AL73" s="256">
        <f>IF(ISERROR(AJ73),0,AJ73)</f>
        <v>0</v>
      </c>
      <c r="AM73" s="257">
        <f>IF(ISERROR(AK73),0,AK73)</f>
        <v>0</v>
      </c>
      <c r="AN73" s="255" t="e">
        <f>VLOOKUP(AO$2,$O$28:$Y$29,4,FALSE)</f>
        <v>#N/A</v>
      </c>
      <c r="AO73" s="256"/>
      <c r="AP73" s="256">
        <f>IF(ISERROR(AN73),0,AN73)</f>
        <v>0</v>
      </c>
      <c r="AQ73" s="257">
        <f>IF(ISERROR(AO73),0,AO73)</f>
        <v>0</v>
      </c>
      <c r="AR73" s="255" t="e">
        <f>VLOOKUP(AS$2,$O$28:$Y$29,4,FALSE)</f>
        <v>#N/A</v>
      </c>
      <c r="AS73" s="256"/>
      <c r="AT73" s="256">
        <f>IF(ISERROR(AR73),0,AR73)</f>
        <v>0</v>
      </c>
      <c r="AU73" s="257">
        <f>IF(ISERROR(AS73),0,AS73)</f>
        <v>0</v>
      </c>
      <c r="AV73" s="255" t="e">
        <f>VLOOKUP(AW$2,$O$28:$Y$29,4,FALSE)</f>
        <v>#N/A</v>
      </c>
      <c r="AW73" s="256"/>
      <c r="AX73" s="256">
        <f>IF(ISERROR(AV73),0,AV73)</f>
        <v>0</v>
      </c>
      <c r="AY73" s="257">
        <f>IF(ISERROR(AW73),0,AW73)</f>
        <v>0</v>
      </c>
      <c r="AZ73" s="255" t="e">
        <f>VLOOKUP(BA$2,$O$28:$Y$29,4,FALSE)</f>
        <v>#N/A</v>
      </c>
      <c r="BA73" s="256"/>
      <c r="BB73" s="256">
        <f>IF(ISERROR(AZ73),0,AZ73)</f>
        <v>0</v>
      </c>
      <c r="BC73" s="257">
        <f>IF(ISERROR(BA73),0,BA73)</f>
        <v>0</v>
      </c>
      <c r="BD73" s="255" t="e">
        <f>VLOOKUP(BE$2,$O$28:$Y$29,4,FALSE)</f>
        <v>#N/A</v>
      </c>
      <c r="BE73" s="256"/>
      <c r="BF73" s="256">
        <f>IF(ISERROR(BD73),0,BD73)</f>
        <v>0</v>
      </c>
      <c r="BG73" s="257">
        <f>IF(ISERROR(BE73),0,BE73)</f>
        <v>0</v>
      </c>
      <c r="BH73" s="255" t="e">
        <f>VLOOKUP(BI$2,$O$28:$Y$29,4,FALSE)</f>
        <v>#N/A</v>
      </c>
      <c r="BI73" s="256"/>
      <c r="BJ73" s="256">
        <f>IF(ISERROR(BH73),0,BH73)</f>
        <v>0</v>
      </c>
      <c r="BK73" s="257">
        <f>IF(ISERROR(BI73),0,BI73)</f>
        <v>0</v>
      </c>
      <c r="BL73" s="255" t="e">
        <f>VLOOKUP(BM$2,$O$28:$Y$29,4,FALSE)</f>
        <v>#N/A</v>
      </c>
      <c r="BM73" s="256"/>
      <c r="BN73" s="256">
        <f>IF(ISERROR(BL73),0,BL73)</f>
        <v>0</v>
      </c>
      <c r="BO73" s="257">
        <f>IF(ISERROR(BM73),0,BM73)</f>
        <v>0</v>
      </c>
      <c r="BP73" s="255" t="e">
        <f>VLOOKUP(BQ$2,$O$28:$Y$29,4,FALSE)</f>
        <v>#N/A</v>
      </c>
      <c r="BQ73" s="256"/>
      <c r="BR73" s="256">
        <f>IF(ISERROR(BP73),0,BP73)</f>
        <v>0</v>
      </c>
      <c r="BS73" s="257">
        <f>IF(ISERROR(BQ73),0,BQ73)</f>
        <v>0</v>
      </c>
      <c r="BT73" s="255" t="e">
        <f>VLOOKUP(BU$2,$O$28:$Y$29,4,FALSE)</f>
        <v>#N/A</v>
      </c>
      <c r="BU73" s="256"/>
      <c r="BV73" s="256">
        <f>IF(ISERROR(BT73),0,BT73)</f>
        <v>0</v>
      </c>
      <c r="BW73" s="257">
        <f>IF(ISERROR(BU73),0,BU73)</f>
        <v>0</v>
      </c>
      <c r="BX73" s="255" t="e">
        <f>VLOOKUP(BY$2,$O$28:$Y$29,4,FALSE)</f>
        <v>#N/A</v>
      </c>
      <c r="BY73" s="256"/>
      <c r="BZ73" s="256">
        <f>IF(ISERROR(BX73),0,BX73)</f>
        <v>0</v>
      </c>
      <c r="CA73" s="257">
        <f>IF(ISERROR(BY73),0,BY73)</f>
        <v>0</v>
      </c>
      <c r="CB73" s="255" t="e">
        <f>VLOOKUP(CC$2,$O$28:$Y$29,4,FALSE)</f>
        <v>#N/A</v>
      </c>
      <c r="CC73" s="256"/>
      <c r="CD73" s="256">
        <f>IF(ISERROR(CB73),0,CB73)</f>
        <v>0</v>
      </c>
      <c r="CE73" s="257">
        <f>IF(ISERROR(CC73),0,CC73)</f>
        <v>0</v>
      </c>
      <c r="CF73" s="255" t="e">
        <f>VLOOKUP(CG$2,$O$28:$Y$29,4,FALSE)</f>
        <v>#N/A</v>
      </c>
      <c r="CG73" s="256"/>
      <c r="CH73" s="256">
        <f>IF(ISERROR(CF73),0,CF73)</f>
        <v>0</v>
      </c>
      <c r="CI73" s="257">
        <f>IF(ISERROR(CG73),0,CG73)</f>
        <v>0</v>
      </c>
      <c r="CJ73" s="255" t="e">
        <f>VLOOKUP(CK$2,$O$28:$Y$29,4,FALSE)</f>
        <v>#N/A</v>
      </c>
      <c r="CK73" s="256"/>
      <c r="CL73" s="256">
        <f>IF(ISERROR(CJ73),0,CJ73)</f>
        <v>0</v>
      </c>
      <c r="CM73" s="257">
        <f>IF(ISERROR(CK73),0,CK73)</f>
        <v>0</v>
      </c>
      <c r="CN73" s="255" t="e">
        <f>VLOOKUP(CO$2,$O$14:$X$18,10,FALSE)</f>
        <v>#N/A</v>
      </c>
      <c r="CO73" s="256"/>
      <c r="CP73" s="263">
        <f>IF(ISERROR(CN73),0,CN73)</f>
        <v>0</v>
      </c>
      <c r="CQ73" s="257">
        <f>IF(ISERROR(CO73),0,CO73)</f>
        <v>0</v>
      </c>
    </row>
    <row r="74" spans="12:95" ht="15.75" customHeight="1" x14ac:dyDescent="0.3">
      <c r="L74" s="279" t="e">
        <f>RANK(V74,$V$74:$V$75)</f>
        <v>#VALUE!</v>
      </c>
      <c r="M74" s="279" t="str">
        <f t="shared" ref="M74:S74" si="104">+M23</f>
        <v>@</v>
      </c>
      <c r="O74" s="279" t="str">
        <f t="shared" si="104"/>
        <v xml:space="preserve"> </v>
      </c>
      <c r="P74" s="279">
        <f t="shared" si="104"/>
        <v>80</v>
      </c>
      <c r="Q74" s="279">
        <f t="shared" si="104"/>
        <v>0</v>
      </c>
      <c r="R74" s="279">
        <f t="shared" si="104"/>
        <v>0</v>
      </c>
      <c r="S74" s="279">
        <f t="shared" si="104"/>
        <v>0</v>
      </c>
      <c r="T74" s="279" t="str">
        <f>+X23</f>
        <v/>
      </c>
      <c r="U74" s="279">
        <f>+Y23</f>
        <v>0</v>
      </c>
      <c r="V74" s="279" t="e">
        <f>+T74+U74/1000</f>
        <v>#VALUE!</v>
      </c>
      <c r="AA74" s="199"/>
      <c r="AB74" s="255"/>
      <c r="AC74" s="256"/>
      <c r="AD74" s="258">
        <f>AD73+AE73</f>
        <v>0</v>
      </c>
      <c r="AE74" s="257"/>
      <c r="AF74" s="255"/>
      <c r="AG74" s="256"/>
      <c r="AH74" s="258">
        <f>AH73+AI73</f>
        <v>0</v>
      </c>
      <c r="AI74" s="257"/>
      <c r="AJ74" s="255"/>
      <c r="AK74" s="256"/>
      <c r="AL74" s="258">
        <f>AL73+AM73</f>
        <v>0</v>
      </c>
      <c r="AM74" s="257"/>
      <c r="AN74" s="255"/>
      <c r="AO74" s="256"/>
      <c r="AP74" s="258">
        <f>AP73+AQ73</f>
        <v>0</v>
      </c>
      <c r="AQ74" s="257"/>
      <c r="AR74" s="255"/>
      <c r="AS74" s="256"/>
      <c r="AT74" s="258">
        <f>AT73+AU73</f>
        <v>0</v>
      </c>
      <c r="AU74" s="257"/>
      <c r="AV74" s="255"/>
      <c r="AW74" s="256"/>
      <c r="AX74" s="258">
        <f>AX73+AY73</f>
        <v>0</v>
      </c>
      <c r="AY74" s="257"/>
      <c r="AZ74" s="255"/>
      <c r="BA74" s="256"/>
      <c r="BB74" s="258">
        <f>BB73+BC73</f>
        <v>0</v>
      </c>
      <c r="BC74" s="257"/>
      <c r="BD74" s="255"/>
      <c r="BE74" s="256"/>
      <c r="BF74" s="258">
        <f>BF73+BG73</f>
        <v>0</v>
      </c>
      <c r="BG74" s="257"/>
      <c r="BH74" s="255"/>
      <c r="BI74" s="256"/>
      <c r="BJ74" s="258">
        <f>BJ73+BK73</f>
        <v>0</v>
      </c>
      <c r="BK74" s="257"/>
      <c r="BL74" s="255"/>
      <c r="BM74" s="256"/>
      <c r="BN74" s="258">
        <f>BN73+BO73</f>
        <v>0</v>
      </c>
      <c r="BO74" s="257"/>
      <c r="BP74" s="255"/>
      <c r="BQ74" s="256"/>
      <c r="BR74" s="258">
        <f>BR73+BS73</f>
        <v>0</v>
      </c>
      <c r="BS74" s="257"/>
      <c r="BT74" s="255"/>
      <c r="BU74" s="256"/>
      <c r="BV74" s="258">
        <f>BV73+BW73</f>
        <v>0</v>
      </c>
      <c r="BW74" s="257"/>
      <c r="BX74" s="255"/>
      <c r="BY74" s="256"/>
      <c r="BZ74" s="258">
        <f>BZ73+CA73</f>
        <v>0</v>
      </c>
      <c r="CA74" s="257"/>
      <c r="CB74" s="255"/>
      <c r="CC74" s="256"/>
      <c r="CD74" s="258">
        <f>CD73+CE73</f>
        <v>0</v>
      </c>
      <c r="CE74" s="257"/>
      <c r="CF74" s="255"/>
      <c r="CG74" s="256"/>
      <c r="CH74" s="258">
        <f>CH73+CI73</f>
        <v>0</v>
      </c>
      <c r="CI74" s="257"/>
      <c r="CJ74" s="255"/>
      <c r="CK74" s="256"/>
      <c r="CL74" s="258">
        <f>CL73+CM73</f>
        <v>0</v>
      </c>
      <c r="CM74" s="257"/>
      <c r="CN74" s="255" t="e">
        <f>VLOOKUP(CO$2,$O$14:$X$18,5,FALSE)</f>
        <v>#N/A</v>
      </c>
      <c r="CO74" s="256"/>
      <c r="CP74" s="256">
        <f>IF(ISERROR(CN74),0,CN74)</f>
        <v>0</v>
      </c>
      <c r="CQ74" s="257">
        <f>IF(ISERROR(CO74),0,CO74)</f>
        <v>0</v>
      </c>
    </row>
    <row r="75" spans="12:95" ht="17.25" customHeight="1" x14ac:dyDescent="0.3">
      <c r="L75" s="279" t="e">
        <f>RANK(V75,$V$74:$V$75)</f>
        <v>#VALUE!</v>
      </c>
      <c r="M75" s="279" t="str">
        <f>+M24</f>
        <v>@</v>
      </c>
      <c r="O75" s="279" t="str">
        <f>+O24</f>
        <v xml:space="preserve"> </v>
      </c>
      <c r="P75" s="279">
        <f>+P74</f>
        <v>80</v>
      </c>
      <c r="Q75" s="279">
        <f>+Q24</f>
        <v>0</v>
      </c>
      <c r="R75" s="279" t="str">
        <f>+R24</f>
        <v/>
      </c>
      <c r="S75" s="279">
        <f>+S24</f>
        <v>0</v>
      </c>
      <c r="T75" s="279" t="str">
        <f>+X24</f>
        <v/>
      </c>
      <c r="U75" s="279">
        <f>+Y24</f>
        <v>0</v>
      </c>
      <c r="V75" s="279" t="e">
        <f>+T75+U75/1000</f>
        <v>#VALUE!</v>
      </c>
      <c r="AA75" s="199" t="s">
        <v>164</v>
      </c>
      <c r="AB75" s="255" t="e">
        <f>VLOOKUP(AC$2,$O$28:$Y$29,10,FALSE)</f>
        <v>#N/A</v>
      </c>
      <c r="AC75" s="256"/>
      <c r="AD75" s="258">
        <f>IF(ISERROR(AB75),0,AB75)</f>
        <v>0</v>
      </c>
      <c r="AE75" s="257">
        <f>IF(ISERROR(AC75),0,AC75)</f>
        <v>0</v>
      </c>
      <c r="AF75" s="255" t="e">
        <f>VLOOKUP(AG$2,$O$28:$Y$29,10,FALSE)</f>
        <v>#N/A</v>
      </c>
      <c r="AG75" s="256"/>
      <c r="AH75" s="258">
        <f>IF(ISERROR(AF75),0,AF75)</f>
        <v>0</v>
      </c>
      <c r="AI75" s="257">
        <f>IF(ISERROR(AG75),0,AG75)</f>
        <v>0</v>
      </c>
      <c r="AJ75" s="255" t="e">
        <f>VLOOKUP(AK$2,$O$28:$Y$29,10,FALSE)</f>
        <v>#N/A</v>
      </c>
      <c r="AK75" s="256"/>
      <c r="AL75" s="258">
        <f>IF(ISERROR(AJ75),0,AJ75)</f>
        <v>0</v>
      </c>
      <c r="AM75" s="257">
        <f>IF(ISERROR(AK75),0,AK75)</f>
        <v>0</v>
      </c>
      <c r="AN75" s="255" t="e">
        <f>VLOOKUP(AO$2,$O$28:$Y$29,10,FALSE)</f>
        <v>#N/A</v>
      </c>
      <c r="AO75" s="256"/>
      <c r="AP75" s="258">
        <f>IF(ISERROR(AN75),0,AN75)</f>
        <v>0</v>
      </c>
      <c r="AQ75" s="257">
        <f>IF(ISERROR(AO75),0,AO75)</f>
        <v>0</v>
      </c>
      <c r="AR75" s="255" t="e">
        <f>VLOOKUP(AS$2,$O$28:$Y$29,10,FALSE)</f>
        <v>#N/A</v>
      </c>
      <c r="AS75" s="256"/>
      <c r="AT75" s="258">
        <f>IF(ISERROR(AR75),0,AR75)</f>
        <v>0</v>
      </c>
      <c r="AU75" s="257">
        <f>IF(ISERROR(AS75),0,AS75)</f>
        <v>0</v>
      </c>
      <c r="AV75" s="255" t="e">
        <f>VLOOKUP(AW$2,$O$28:$Y$29,10,FALSE)</f>
        <v>#N/A</v>
      </c>
      <c r="AW75" s="256"/>
      <c r="AX75" s="258">
        <f>IF(ISERROR(AV75),0,AV75)</f>
        <v>0</v>
      </c>
      <c r="AY75" s="257">
        <f>IF(ISERROR(AW75),0,AW75)</f>
        <v>0</v>
      </c>
      <c r="AZ75" s="255" t="e">
        <f>VLOOKUP(BA$2,$O$28:$Y$29,10,FALSE)</f>
        <v>#N/A</v>
      </c>
      <c r="BA75" s="256"/>
      <c r="BB75" s="258">
        <f>IF(ISERROR(AZ75),0,AZ75)</f>
        <v>0</v>
      </c>
      <c r="BC75" s="257">
        <f>IF(ISERROR(BA75),0,BA75)</f>
        <v>0</v>
      </c>
      <c r="BD75" s="255" t="e">
        <f>VLOOKUP(BE$2,$O$28:$Y$29,10,FALSE)</f>
        <v>#N/A</v>
      </c>
      <c r="BE75" s="256"/>
      <c r="BF75" s="258">
        <f>IF(ISERROR(BD75),0,BD75)</f>
        <v>0</v>
      </c>
      <c r="BG75" s="257">
        <f>IF(ISERROR(BE75),0,BE75)</f>
        <v>0</v>
      </c>
      <c r="BH75" s="255" t="e">
        <f>VLOOKUP(BI$2,$O$28:$Y$29,10,FALSE)</f>
        <v>#N/A</v>
      </c>
      <c r="BI75" s="256"/>
      <c r="BJ75" s="258">
        <f>IF(ISERROR(BH75),0,BH75)</f>
        <v>0</v>
      </c>
      <c r="BK75" s="257">
        <f>IF(ISERROR(BI75),0,BI75)</f>
        <v>0</v>
      </c>
      <c r="BL75" s="255" t="e">
        <f>VLOOKUP(BM$2,$O$28:$Y$29,10,FALSE)</f>
        <v>#N/A</v>
      </c>
      <c r="BM75" s="256"/>
      <c r="BN75" s="258">
        <f>IF(ISERROR(BL75),0,BL75)</f>
        <v>0</v>
      </c>
      <c r="BO75" s="257">
        <f>IF(ISERROR(BM75),0,BM75)</f>
        <v>0</v>
      </c>
      <c r="BP75" s="255" t="e">
        <f>VLOOKUP(BQ$2,$O$28:$Y$29,10,FALSE)</f>
        <v>#N/A</v>
      </c>
      <c r="BQ75" s="256"/>
      <c r="BR75" s="258">
        <f>IF(ISERROR(BP75),0,BP75)</f>
        <v>0</v>
      </c>
      <c r="BS75" s="257">
        <f>IF(ISERROR(BQ75),0,BQ75)</f>
        <v>0</v>
      </c>
      <c r="BT75" s="255" t="e">
        <f>VLOOKUP(BU$2,$O$28:$Y$29,10,FALSE)</f>
        <v>#N/A</v>
      </c>
      <c r="BU75" s="256"/>
      <c r="BV75" s="258">
        <f>IF(ISERROR(BT75),0,BT75)</f>
        <v>0</v>
      </c>
      <c r="BW75" s="257">
        <f>IF(ISERROR(BU75),0,BU75)</f>
        <v>0</v>
      </c>
      <c r="BX75" s="255" t="e">
        <f>VLOOKUP(BY$2,$O$28:$Y$29,10,FALSE)</f>
        <v>#N/A</v>
      </c>
      <c r="BY75" s="256"/>
      <c r="BZ75" s="258">
        <f>IF(ISERROR(BX75),0,BX75)</f>
        <v>0</v>
      </c>
      <c r="CA75" s="257">
        <f>IF(ISERROR(BY75),0,BY75)</f>
        <v>0</v>
      </c>
      <c r="CB75" s="255" t="e">
        <f>VLOOKUP(CC$2,$O$28:$Y$29,10,FALSE)</f>
        <v>#N/A</v>
      </c>
      <c r="CC75" s="256"/>
      <c r="CD75" s="258">
        <f>IF(ISERROR(CB75),0,CB75)</f>
        <v>0</v>
      </c>
      <c r="CE75" s="257">
        <f>IF(ISERROR(CC75),0,CC75)</f>
        <v>0</v>
      </c>
      <c r="CF75" s="255" t="e">
        <f>VLOOKUP(CG$2,$O$28:$Y$29,10,FALSE)</f>
        <v>#N/A</v>
      </c>
      <c r="CG75" s="256"/>
      <c r="CH75" s="258">
        <f>IF(ISERROR(CF75),0,CF75)</f>
        <v>0</v>
      </c>
      <c r="CI75" s="257">
        <f>IF(ISERROR(CG75),0,CG75)</f>
        <v>0</v>
      </c>
      <c r="CJ75" s="255" t="e">
        <f>VLOOKUP(CK$2,$O$28:$Y$29,10,FALSE)</f>
        <v>#N/A</v>
      </c>
      <c r="CK75" s="256"/>
      <c r="CL75" s="258">
        <f>IF(ISERROR(CJ75),0,CJ75)</f>
        <v>0</v>
      </c>
      <c r="CM75" s="257">
        <f>IF(ISERROR(CK75),0,CK75)</f>
        <v>0</v>
      </c>
      <c r="CN75" s="255"/>
      <c r="CO75" s="256"/>
      <c r="CP75" s="263">
        <f>CP74</f>
        <v>0</v>
      </c>
      <c r="CQ75" s="257"/>
    </row>
    <row r="76" spans="12:95" ht="16.5" customHeight="1" x14ac:dyDescent="0.3">
      <c r="Z76" s="316"/>
      <c r="AA76" s="199" t="s">
        <v>165</v>
      </c>
      <c r="AB76" s="255" t="e">
        <f>VLOOKUP(AC$2,$O$28:$Y$29,5,FALSE)</f>
        <v>#N/A</v>
      </c>
      <c r="AC76" s="256"/>
      <c r="AD76" s="256">
        <f>IF(ISERROR(AB76),0,AB76)</f>
        <v>0</v>
      </c>
      <c r="AE76" s="257">
        <f>IF(ISERROR(AC76),0,AC76)</f>
        <v>0</v>
      </c>
      <c r="AF76" s="255" t="e">
        <f>VLOOKUP(AG$2,$O$28:$Y$29,5,FALSE)</f>
        <v>#N/A</v>
      </c>
      <c r="AG76" s="256"/>
      <c r="AH76" s="256">
        <f>IF(ISERROR(AF76),0,AF76)</f>
        <v>0</v>
      </c>
      <c r="AI76" s="257">
        <f>IF(ISERROR(AG76),0,AG76)</f>
        <v>0</v>
      </c>
      <c r="AJ76" s="255" t="e">
        <f>VLOOKUP(AK$2,$O$28:$Y$29,5,FALSE)</f>
        <v>#N/A</v>
      </c>
      <c r="AK76" s="256"/>
      <c r="AL76" s="256">
        <f>IF(ISERROR(AJ76),0,AJ76)</f>
        <v>0</v>
      </c>
      <c r="AM76" s="257">
        <f>IF(ISERROR(AK76),0,AK76)</f>
        <v>0</v>
      </c>
      <c r="AN76" s="255" t="e">
        <f>VLOOKUP(AO$2,$O$28:$Y$29,5,FALSE)</f>
        <v>#N/A</v>
      </c>
      <c r="AO76" s="256"/>
      <c r="AP76" s="256">
        <f>IF(ISERROR(AN76),0,AN76)</f>
        <v>0</v>
      </c>
      <c r="AQ76" s="257">
        <f>IF(ISERROR(AO76),0,AO76)</f>
        <v>0</v>
      </c>
      <c r="AR76" s="255" t="e">
        <f>VLOOKUP(AS$2,$O$28:$Y$29,5,FALSE)</f>
        <v>#N/A</v>
      </c>
      <c r="AS76" s="256"/>
      <c r="AT76" s="256">
        <f>IF(ISERROR(AR76),0,AR76)</f>
        <v>0</v>
      </c>
      <c r="AU76" s="257">
        <f>IF(ISERROR(AS76),0,AS76)</f>
        <v>0</v>
      </c>
      <c r="AV76" s="255" t="e">
        <f>VLOOKUP(AW$2,$O$28:$Y$29,5,FALSE)</f>
        <v>#N/A</v>
      </c>
      <c r="AW76" s="256"/>
      <c r="AX76" s="256">
        <f>IF(ISERROR(AV76),0,AV76)</f>
        <v>0</v>
      </c>
      <c r="AY76" s="257">
        <f>IF(ISERROR(AW76),0,AW76)</f>
        <v>0</v>
      </c>
      <c r="AZ76" s="255" t="e">
        <f>VLOOKUP(BA$2,$O$28:$Y$29,5,FALSE)</f>
        <v>#N/A</v>
      </c>
      <c r="BA76" s="256"/>
      <c r="BB76" s="256">
        <f>IF(ISERROR(AZ76),0,AZ76)</f>
        <v>0</v>
      </c>
      <c r="BC76" s="257">
        <f>IF(ISERROR(BA76),0,BA76)</f>
        <v>0</v>
      </c>
      <c r="BD76" s="255" t="e">
        <f>VLOOKUP(BE$2,$O$28:$Y$29,5,FALSE)</f>
        <v>#N/A</v>
      </c>
      <c r="BE76" s="256"/>
      <c r="BF76" s="256">
        <f>IF(ISERROR(BD76),0,BD76)</f>
        <v>0</v>
      </c>
      <c r="BG76" s="257">
        <f>IF(ISERROR(BE76),0,BE76)</f>
        <v>0</v>
      </c>
      <c r="BH76" s="255" t="e">
        <f>VLOOKUP(BI$2,$O$28:$Y$29,5,FALSE)</f>
        <v>#N/A</v>
      </c>
      <c r="BI76" s="256"/>
      <c r="BJ76" s="256">
        <f>IF(ISERROR(BH76),0,BH76)</f>
        <v>0</v>
      </c>
      <c r="BK76" s="257">
        <f>IF(ISERROR(BI76),0,BI76)</f>
        <v>0</v>
      </c>
      <c r="BL76" s="255" t="e">
        <f>VLOOKUP(BM$2,$O$28:$Y$29,5,FALSE)</f>
        <v>#N/A</v>
      </c>
      <c r="BM76" s="256"/>
      <c r="BN76" s="256">
        <f>IF(ISERROR(BL76),0,BL76)</f>
        <v>0</v>
      </c>
      <c r="BO76" s="257">
        <f>IF(ISERROR(BM76),0,BM76)</f>
        <v>0</v>
      </c>
      <c r="BP76" s="255" t="e">
        <f>VLOOKUP(BQ$2,$O$28:$Y$29,5,FALSE)</f>
        <v>#N/A</v>
      </c>
      <c r="BQ76" s="256"/>
      <c r="BR76" s="256">
        <f>IF(ISERROR(BP76),0,BP76)</f>
        <v>0</v>
      </c>
      <c r="BS76" s="257">
        <f>IF(ISERROR(BQ76),0,BQ76)</f>
        <v>0</v>
      </c>
      <c r="BT76" s="255" t="e">
        <f>VLOOKUP(BU$2,$O$28:$Y$29,5,FALSE)</f>
        <v>#N/A</v>
      </c>
      <c r="BU76" s="256"/>
      <c r="BV76" s="256">
        <f>IF(ISERROR(BT76),0,BT76)</f>
        <v>0</v>
      </c>
      <c r="BW76" s="257">
        <f>IF(ISERROR(BU76),0,BU76)</f>
        <v>0</v>
      </c>
      <c r="BX76" s="255" t="e">
        <f>VLOOKUP(BY$2,$O$28:$Y$29,5,FALSE)</f>
        <v>#N/A</v>
      </c>
      <c r="BY76" s="256"/>
      <c r="BZ76" s="256">
        <f>IF(ISERROR(BX76),0,BX76)</f>
        <v>0</v>
      </c>
      <c r="CA76" s="257">
        <f>IF(ISERROR(BY76),0,BY76)</f>
        <v>0</v>
      </c>
      <c r="CB76" s="255" t="e">
        <f>VLOOKUP(CC$2,$O$28:$Y$29,5,FALSE)</f>
        <v>#N/A</v>
      </c>
      <c r="CC76" s="256"/>
      <c r="CD76" s="256">
        <f>IF(ISERROR(CB76),0,CB76)</f>
        <v>0</v>
      </c>
      <c r="CE76" s="257">
        <f>IF(ISERROR(CC76),0,CC76)</f>
        <v>0</v>
      </c>
      <c r="CF76" s="255" t="e">
        <f>VLOOKUP(CG$2,$O$28:$Y$29,5,FALSE)</f>
        <v>#N/A</v>
      </c>
      <c r="CG76" s="256"/>
      <c r="CH76" s="256">
        <f>IF(ISERROR(CF76),0,CF76)</f>
        <v>0</v>
      </c>
      <c r="CI76" s="257">
        <f>IF(ISERROR(CG76),0,CG76)</f>
        <v>0</v>
      </c>
      <c r="CJ76" s="255" t="e">
        <f>VLOOKUP(CK$2,$O$28:$Y$29,5,FALSE)</f>
        <v>#N/A</v>
      </c>
      <c r="CK76" s="256"/>
      <c r="CL76" s="256">
        <f>IF(ISERROR(CJ76),0,CJ76)</f>
        <v>0</v>
      </c>
      <c r="CM76" s="257">
        <f>IF(ISERROR(CK76),0,CK76)</f>
        <v>0</v>
      </c>
      <c r="CN76" s="265">
        <f>IF(CP73=2,CP70/CP72,0)</f>
        <v>0</v>
      </c>
      <c r="CO76" s="256"/>
      <c r="CP76" s="256"/>
      <c r="CQ76" s="257"/>
    </row>
    <row r="77" spans="12:95" ht="15.75" customHeight="1" x14ac:dyDescent="0.3">
      <c r="Z77" s="316"/>
      <c r="AA77" s="199"/>
      <c r="AB77" s="255"/>
      <c r="AC77" s="256"/>
      <c r="AD77" s="258">
        <f>AD76</f>
        <v>0</v>
      </c>
      <c r="AE77" s="257"/>
      <c r="AF77" s="255"/>
      <c r="AG77" s="256"/>
      <c r="AH77" s="258">
        <f>AH76</f>
        <v>0</v>
      </c>
      <c r="AI77" s="257"/>
      <c r="AJ77" s="255"/>
      <c r="AK77" s="256"/>
      <c r="AL77" s="258">
        <f>AL76</f>
        <v>0</v>
      </c>
      <c r="AM77" s="257"/>
      <c r="AN77" s="255"/>
      <c r="AO77" s="256"/>
      <c r="AP77" s="258">
        <f>AP76</f>
        <v>0</v>
      </c>
      <c r="AQ77" s="257"/>
      <c r="AR77" s="255"/>
      <c r="AS77" s="256"/>
      <c r="AT77" s="258">
        <f>AT76</f>
        <v>0</v>
      </c>
      <c r="AU77" s="257"/>
      <c r="AV77" s="255"/>
      <c r="AW77" s="256"/>
      <c r="AX77" s="258">
        <f>AX76</f>
        <v>0</v>
      </c>
      <c r="AY77" s="257"/>
      <c r="AZ77" s="255"/>
      <c r="BA77" s="256"/>
      <c r="BB77" s="258">
        <f>BB76</f>
        <v>0</v>
      </c>
      <c r="BC77" s="257"/>
      <c r="BD77" s="255"/>
      <c r="BE77" s="256"/>
      <c r="BF77" s="258">
        <f>BF76</f>
        <v>0</v>
      </c>
      <c r="BG77" s="257"/>
      <c r="BH77" s="255"/>
      <c r="BI77" s="256"/>
      <c r="BJ77" s="258">
        <f>BJ76</f>
        <v>0</v>
      </c>
      <c r="BK77" s="257"/>
      <c r="BL77" s="255"/>
      <c r="BM77" s="256"/>
      <c r="BN77" s="258">
        <f>BN76</f>
        <v>0</v>
      </c>
      <c r="BO77" s="257"/>
      <c r="BP77" s="255"/>
      <c r="BQ77" s="256"/>
      <c r="BR77" s="258">
        <f>BR76</f>
        <v>0</v>
      </c>
      <c r="BS77" s="257"/>
      <c r="BT77" s="255"/>
      <c r="BU77" s="256"/>
      <c r="BV77" s="258">
        <f>BV76</f>
        <v>0</v>
      </c>
      <c r="BW77" s="257"/>
      <c r="BX77" s="255"/>
      <c r="BY77" s="256"/>
      <c r="BZ77" s="258">
        <f>BZ76</f>
        <v>0</v>
      </c>
      <c r="CA77" s="257"/>
      <c r="CB77" s="255"/>
      <c r="CC77" s="256"/>
      <c r="CD77" s="258">
        <f>CD76</f>
        <v>0</v>
      </c>
      <c r="CE77" s="257"/>
      <c r="CF77" s="255"/>
      <c r="CG77" s="256"/>
      <c r="CH77" s="258">
        <f>CH76</f>
        <v>0</v>
      </c>
      <c r="CI77" s="257"/>
      <c r="CJ77" s="255"/>
      <c r="CK77" s="256"/>
      <c r="CL77" s="258">
        <f>CL76</f>
        <v>0</v>
      </c>
      <c r="CM77" s="257"/>
      <c r="CN77" s="255"/>
      <c r="CO77" s="256"/>
      <c r="CP77" s="256"/>
      <c r="CQ77" s="257"/>
    </row>
    <row r="78" spans="12:95" ht="16.5" customHeight="1" x14ac:dyDescent="0.3">
      <c r="L78" s="279" t="e">
        <f>RANK(V78,$V$78:$V$79)</f>
        <v>#VALUE!</v>
      </c>
      <c r="M78" s="279" t="str">
        <f t="shared" ref="M78:S78" si="105">+M28</f>
        <v>@</v>
      </c>
      <c r="O78" s="279" t="str">
        <f t="shared" si="105"/>
        <v xml:space="preserve"> </v>
      </c>
      <c r="P78" s="279">
        <f t="shared" si="105"/>
        <v>80</v>
      </c>
      <c r="Q78" s="279">
        <f t="shared" si="105"/>
        <v>0</v>
      </c>
      <c r="R78" s="279">
        <f t="shared" si="105"/>
        <v>0</v>
      </c>
      <c r="S78" s="279">
        <f t="shared" si="105"/>
        <v>0</v>
      </c>
      <c r="T78" s="279" t="str">
        <f>+X28</f>
        <v/>
      </c>
      <c r="U78" s="279">
        <f>+Y28</f>
        <v>0</v>
      </c>
      <c r="V78" s="279" t="e">
        <f>+T78+U78/1000</f>
        <v>#VALUE!</v>
      </c>
      <c r="Z78" s="316"/>
      <c r="AA78" s="199" t="s">
        <v>166</v>
      </c>
      <c r="AB78" s="262">
        <f>IF(AD74&gt;=1,AD72/AD73,0)</f>
        <v>0</v>
      </c>
      <c r="AC78" s="256"/>
      <c r="AD78" s="256"/>
      <c r="AE78" s="257"/>
      <c r="AF78" s="262">
        <f>IF(AH74&gt;=1,AH72/AH73,0)</f>
        <v>0</v>
      </c>
      <c r="AG78" s="256"/>
      <c r="AH78" s="256"/>
      <c r="AI78" s="257"/>
      <c r="AJ78" s="262">
        <f>IF(AL74&gt;=1,AL72/AL73,0)</f>
        <v>0</v>
      </c>
      <c r="AK78" s="256"/>
      <c r="AL78" s="256"/>
      <c r="AM78" s="257"/>
      <c r="AN78" s="262">
        <f>IF(AP74&gt;=1,AP72/AP73,0)</f>
        <v>0</v>
      </c>
      <c r="AO78" s="256"/>
      <c r="AP78" s="256"/>
      <c r="AQ78" s="257"/>
      <c r="AR78" s="262">
        <f>IF(AT74&gt;=1,AT72/AT73,0)</f>
        <v>0</v>
      </c>
      <c r="AS78" s="256"/>
      <c r="AT78" s="256"/>
      <c r="AU78" s="257"/>
      <c r="AV78" s="262">
        <f>IF(AX74&gt;=1,AX72/AX73,0)</f>
        <v>0</v>
      </c>
      <c r="AW78" s="256"/>
      <c r="AX78" s="256"/>
      <c r="AY78" s="257"/>
      <c r="AZ78" s="262">
        <f>IF(BB74&gt;=1,BB72/BB73,0)</f>
        <v>0</v>
      </c>
      <c r="BA78" s="256"/>
      <c r="BB78" s="256"/>
      <c r="BC78" s="257"/>
      <c r="BD78" s="262">
        <f>IF(BF74&gt;=1,BF72/BF73,0)</f>
        <v>0</v>
      </c>
      <c r="BE78" s="256"/>
      <c r="BF78" s="256"/>
      <c r="BG78" s="257"/>
      <c r="BH78" s="262">
        <f>IF(BJ74&gt;=1,BJ72/BJ73,0)</f>
        <v>0</v>
      </c>
      <c r="BI78" s="256"/>
      <c r="BJ78" s="256"/>
      <c r="BK78" s="257"/>
      <c r="BL78" s="262">
        <f>IF(BN74&gt;=1,BN72/BN73,0)</f>
        <v>0</v>
      </c>
      <c r="BM78" s="256"/>
      <c r="BN78" s="256"/>
      <c r="BO78" s="257"/>
      <c r="BP78" s="262">
        <f>IF(BR74&gt;=1,BR72/BR73,0)</f>
        <v>0</v>
      </c>
      <c r="BQ78" s="256"/>
      <c r="BR78" s="256"/>
      <c r="BS78" s="257"/>
      <c r="BT78" s="262">
        <f>IF(BV74&gt;=1,BV72/BV73,0)</f>
        <v>0</v>
      </c>
      <c r="BU78" s="256"/>
      <c r="BV78" s="256"/>
      <c r="BW78" s="257"/>
      <c r="BX78" s="262">
        <f>IF(BZ74&gt;=1,BZ72/BZ73,0)</f>
        <v>0</v>
      </c>
      <c r="BY78" s="256"/>
      <c r="BZ78" s="256"/>
      <c r="CA78" s="257"/>
      <c r="CB78" s="262">
        <f>IF(CD74&gt;=1,CD72/CD73,0)</f>
        <v>0</v>
      </c>
      <c r="CC78" s="256"/>
      <c r="CD78" s="256"/>
      <c r="CE78" s="257"/>
      <c r="CF78" s="262">
        <f>IF(CH74&gt;=1,CH72/CH73,0)</f>
        <v>0</v>
      </c>
      <c r="CG78" s="256"/>
      <c r="CH78" s="256"/>
      <c r="CI78" s="257"/>
      <c r="CJ78" s="262">
        <f>IF(CL74&gt;=1,CL72/CL73,0)</f>
        <v>0</v>
      </c>
      <c r="CK78" s="256"/>
      <c r="CL78" s="256"/>
      <c r="CM78" s="257"/>
      <c r="CN78" s="312"/>
      <c r="CO78" s="312"/>
      <c r="CP78" s="312"/>
      <c r="CQ78" s="312"/>
    </row>
    <row r="79" spans="12:95" ht="15.75" customHeight="1" x14ac:dyDescent="0.3">
      <c r="L79" s="279" t="e">
        <f>RANK(V79,$V$78:$V$79)</f>
        <v>#VALUE!</v>
      </c>
      <c r="M79" s="279" t="str">
        <f>+M29</f>
        <v>@</v>
      </c>
      <c r="O79" s="279" t="str">
        <f>+O29</f>
        <v xml:space="preserve"> </v>
      </c>
      <c r="P79" s="279">
        <f>+P78</f>
        <v>80</v>
      </c>
      <c r="Q79" s="279">
        <f>+Q29</f>
        <v>0</v>
      </c>
      <c r="R79" s="279" t="str">
        <f>+R29</f>
        <v/>
      </c>
      <c r="S79" s="279">
        <f>+S29</f>
        <v>0</v>
      </c>
      <c r="T79" s="279" t="str">
        <f>+X29</f>
        <v/>
      </c>
      <c r="U79" s="279">
        <f>+Y29</f>
        <v>0</v>
      </c>
      <c r="V79" s="279" t="e">
        <f>+T79+U79/1000</f>
        <v>#VALUE!</v>
      </c>
      <c r="Z79" s="316"/>
      <c r="AA79" s="199"/>
      <c r="AB79" s="255"/>
      <c r="AC79" s="256"/>
      <c r="AD79" s="256"/>
      <c r="AE79" s="257"/>
      <c r="AF79" s="255"/>
      <c r="AG79" s="256"/>
      <c r="AH79" s="256"/>
      <c r="AI79" s="257"/>
      <c r="AJ79" s="255"/>
      <c r="AK79" s="256"/>
      <c r="AL79" s="256"/>
      <c r="AM79" s="257"/>
      <c r="AN79" s="255"/>
      <c r="AO79" s="256"/>
      <c r="AP79" s="256"/>
      <c r="AQ79" s="257"/>
      <c r="AR79" s="255"/>
      <c r="AS79" s="256"/>
      <c r="AT79" s="256"/>
      <c r="AU79" s="257"/>
      <c r="AV79" s="255"/>
      <c r="AW79" s="256"/>
      <c r="AX79" s="256"/>
      <c r="AY79" s="257"/>
      <c r="AZ79" s="255"/>
      <c r="BA79" s="256"/>
      <c r="BB79" s="256"/>
      <c r="BC79" s="257"/>
      <c r="BD79" s="255"/>
      <c r="BE79" s="256"/>
      <c r="BF79" s="256"/>
      <c r="BG79" s="257"/>
      <c r="BH79" s="255"/>
      <c r="BI79" s="256"/>
      <c r="BJ79" s="256"/>
      <c r="BK79" s="257"/>
      <c r="BL79" s="255"/>
      <c r="BM79" s="256"/>
      <c r="BN79" s="256"/>
      <c r="BO79" s="257"/>
      <c r="BP79" s="255"/>
      <c r="BQ79" s="256"/>
      <c r="BR79" s="256"/>
      <c r="BS79" s="257"/>
      <c r="BT79" s="255"/>
      <c r="BU79" s="256"/>
      <c r="BV79" s="256"/>
      <c r="BW79" s="257"/>
      <c r="BX79" s="255"/>
      <c r="BY79" s="256"/>
      <c r="BZ79" s="256"/>
      <c r="CA79" s="257"/>
      <c r="CB79" s="255"/>
      <c r="CC79" s="256"/>
      <c r="CD79" s="256"/>
      <c r="CE79" s="257"/>
      <c r="CF79" s="255"/>
      <c r="CG79" s="256"/>
      <c r="CH79" s="256"/>
      <c r="CI79" s="257"/>
      <c r="CJ79" s="255"/>
      <c r="CK79" s="256"/>
      <c r="CL79" s="256"/>
      <c r="CM79" s="257"/>
      <c r="CN79" s="312" t="s">
        <v>160</v>
      </c>
      <c r="CO79" s="313" t="e">
        <f>IF(AND(CN73=0,CP72&gt;1),1,2)</f>
        <v>#N/A</v>
      </c>
      <c r="CP79" s="263">
        <f>IF(ISERROR(CO79),0,CO79)</f>
        <v>0</v>
      </c>
      <c r="CQ79" s="312"/>
    </row>
    <row r="80" spans="12:95" ht="16.5" customHeight="1" x14ac:dyDescent="0.3">
      <c r="Z80" s="316"/>
      <c r="AB80" s="312"/>
      <c r="AC80" s="312"/>
      <c r="AD80" s="312"/>
      <c r="AE80" s="312"/>
      <c r="AF80" s="312"/>
      <c r="AG80" s="312"/>
      <c r="AH80" s="312"/>
      <c r="AI80" s="312"/>
      <c r="AJ80" s="312"/>
      <c r="AK80" s="312"/>
      <c r="AL80" s="312"/>
      <c r="AM80" s="312"/>
      <c r="AN80" s="312"/>
      <c r="AO80" s="312"/>
      <c r="AP80" s="312"/>
      <c r="AQ80" s="312"/>
      <c r="AR80" s="312"/>
      <c r="AS80" s="312"/>
      <c r="AT80" s="312"/>
      <c r="AU80" s="312"/>
      <c r="AV80" s="312"/>
      <c r="AW80" s="312"/>
      <c r="AX80" s="312"/>
      <c r="AY80" s="312"/>
      <c r="AZ80" s="312"/>
      <c r="BA80" s="312"/>
      <c r="BB80" s="312"/>
      <c r="BC80" s="312"/>
      <c r="BD80" s="312"/>
      <c r="BE80" s="312"/>
      <c r="BF80" s="312"/>
      <c r="BG80" s="312"/>
      <c r="BH80" s="312"/>
      <c r="BI80" s="312"/>
      <c r="BJ80" s="312"/>
      <c r="BK80" s="312"/>
      <c r="BL80" s="312"/>
      <c r="BM80" s="312"/>
      <c r="BN80" s="312"/>
      <c r="BO80" s="312"/>
      <c r="BP80" s="312"/>
      <c r="BQ80" s="312"/>
      <c r="BR80" s="312"/>
      <c r="BS80" s="312"/>
      <c r="BT80" s="312"/>
      <c r="BU80" s="312"/>
      <c r="BV80" s="312"/>
      <c r="BW80" s="312"/>
      <c r="BX80" s="312"/>
      <c r="BY80" s="312"/>
      <c r="BZ80" s="312"/>
      <c r="CA80" s="312"/>
      <c r="CB80" s="312"/>
      <c r="CC80" s="312"/>
      <c r="CD80" s="312"/>
      <c r="CE80" s="312"/>
      <c r="CF80" s="312"/>
      <c r="CG80" s="312"/>
      <c r="CH80" s="312"/>
      <c r="CI80" s="312"/>
      <c r="CJ80" s="312"/>
      <c r="CK80" s="312"/>
      <c r="CL80" s="312"/>
      <c r="CM80" s="312"/>
      <c r="CN80" s="198"/>
      <c r="CO80" s="199"/>
      <c r="CP80" s="199"/>
      <c r="CQ80" s="197"/>
    </row>
    <row r="81" spans="1:95" ht="15.75" customHeight="1" x14ac:dyDescent="0.3">
      <c r="Z81" s="316"/>
      <c r="AB81" s="312" t="s">
        <v>167</v>
      </c>
      <c r="AC81" s="313" t="e">
        <f>IF(AND(AB75=2,AD74&gt;1),2,0)</f>
        <v>#N/A</v>
      </c>
      <c r="AD81" s="263">
        <f>IF(ISERROR(AC81),0,AC81)</f>
        <v>0</v>
      </c>
      <c r="AE81" s="312"/>
      <c r="AF81" s="312" t="s">
        <v>167</v>
      </c>
      <c r="AG81" s="313" t="e">
        <f>IF(AND(AF75=2,AH74&gt;1),2,0)</f>
        <v>#N/A</v>
      </c>
      <c r="AH81" s="263">
        <f>IF(ISERROR(AG81),0,AG81)</f>
        <v>0</v>
      </c>
      <c r="AI81" s="312"/>
      <c r="AJ81" s="312" t="s">
        <v>167</v>
      </c>
      <c r="AK81" s="313" t="e">
        <f>IF(AND(AJ75=2,AL74&gt;1),2,0)</f>
        <v>#N/A</v>
      </c>
      <c r="AL81" s="263">
        <f>IF(ISERROR(AK81),0,AK81)</f>
        <v>0</v>
      </c>
      <c r="AM81" s="312"/>
      <c r="AN81" s="312" t="s">
        <v>167</v>
      </c>
      <c r="AO81" s="313" t="e">
        <f>IF(AND(AN75=2,AP74&gt;1),2,0)</f>
        <v>#N/A</v>
      </c>
      <c r="AP81" s="263">
        <f>IF(ISERROR(AO81),0,AO81)</f>
        <v>0</v>
      </c>
      <c r="AQ81" s="312"/>
      <c r="AR81" s="312" t="s">
        <v>167</v>
      </c>
      <c r="AS81" s="313" t="e">
        <f>IF(AND(AR75=2,AT74&gt;1),2,0)</f>
        <v>#N/A</v>
      </c>
      <c r="AT81" s="263">
        <f>IF(ISERROR(AS81),0,AS81)</f>
        <v>0</v>
      </c>
      <c r="AU81" s="312"/>
      <c r="AV81" s="312" t="s">
        <v>167</v>
      </c>
      <c r="AW81" s="313" t="e">
        <f>IF(AND(AV75=2,AX74&gt;1),2,0)</f>
        <v>#N/A</v>
      </c>
      <c r="AX81" s="263">
        <f>IF(ISERROR(AW81),0,AW81)</f>
        <v>0</v>
      </c>
      <c r="AY81" s="312"/>
      <c r="AZ81" s="312" t="s">
        <v>167</v>
      </c>
      <c r="BA81" s="313" t="e">
        <f>IF(AND(AZ75=2,BB74&gt;1),2,0)</f>
        <v>#N/A</v>
      </c>
      <c r="BB81" s="263">
        <f>IF(ISERROR(BA81),0,BA81)</f>
        <v>0</v>
      </c>
      <c r="BC81" s="312"/>
      <c r="BD81" s="312" t="s">
        <v>167</v>
      </c>
      <c r="BE81" s="313" t="e">
        <f>IF(AND(BD75=2,BF74&gt;1),2,0)</f>
        <v>#N/A</v>
      </c>
      <c r="BF81" s="263">
        <f>IF(ISERROR(BE81),0,BE81)</f>
        <v>0</v>
      </c>
      <c r="BG81" s="312"/>
      <c r="BH81" s="312" t="s">
        <v>167</v>
      </c>
      <c r="BI81" s="313" t="e">
        <f>IF(AND(BH75=2,BJ74&gt;1),2,0)</f>
        <v>#N/A</v>
      </c>
      <c r="BJ81" s="263">
        <f>IF(ISERROR(BI81),0,BI81)</f>
        <v>0</v>
      </c>
      <c r="BK81" s="312"/>
      <c r="BL81" s="312" t="s">
        <v>167</v>
      </c>
      <c r="BM81" s="313" t="e">
        <f>IF(AND(BL75=2,BN74&gt;1),2,0)</f>
        <v>#N/A</v>
      </c>
      <c r="BN81" s="263">
        <f>IF(ISERROR(BM81),0,BM81)</f>
        <v>0</v>
      </c>
      <c r="BO81" s="312"/>
      <c r="BP81" s="312" t="s">
        <v>167</v>
      </c>
      <c r="BQ81" s="313" t="e">
        <f>IF(AND(BP75=2,BR74&gt;1),2,0)</f>
        <v>#N/A</v>
      </c>
      <c r="BR81" s="263">
        <f>IF(ISERROR(BQ81),0,BQ81)</f>
        <v>0</v>
      </c>
      <c r="BS81" s="312"/>
      <c r="BT81" s="312" t="s">
        <v>167</v>
      </c>
      <c r="BU81" s="313" t="e">
        <f>IF(AND(BT75=2,BV74&gt;1),2,0)</f>
        <v>#N/A</v>
      </c>
      <c r="BV81" s="263">
        <f>IF(ISERROR(BU81),0,BU81)</f>
        <v>0</v>
      </c>
      <c r="BW81" s="312"/>
      <c r="BX81" s="312" t="s">
        <v>167</v>
      </c>
      <c r="BY81" s="313" t="e">
        <f>IF(AND(BX75=2,BZ74&gt;1),2,0)</f>
        <v>#N/A</v>
      </c>
      <c r="BZ81" s="263">
        <f>IF(ISERROR(BY81),0,BY81)</f>
        <v>0</v>
      </c>
      <c r="CA81" s="312"/>
      <c r="CB81" s="312" t="s">
        <v>167</v>
      </c>
      <c r="CC81" s="313" t="e">
        <f>IF(AND(CB75=2,CD74&gt;1),2,0)</f>
        <v>#N/A</v>
      </c>
      <c r="CD81" s="263">
        <f>IF(ISERROR(CC81),0,CC81)</f>
        <v>0</v>
      </c>
      <c r="CE81" s="312"/>
      <c r="CF81" s="312" t="s">
        <v>167</v>
      </c>
      <c r="CG81" s="313" t="e">
        <f>IF(AND(CF75=2,CH74&gt;1),2,0)</f>
        <v>#N/A</v>
      </c>
      <c r="CH81" s="263">
        <f>IF(ISERROR(CG81),0,CG81)</f>
        <v>0</v>
      </c>
      <c r="CI81" s="312"/>
      <c r="CJ81" s="312" t="s">
        <v>167</v>
      </c>
      <c r="CK81" s="313" t="e">
        <f>IF(AND(CJ75=2,CL74&gt;1),2,0)</f>
        <v>#N/A</v>
      </c>
      <c r="CL81" s="263">
        <f>IF(ISERROR(CK81),0,CK81)</f>
        <v>0</v>
      </c>
      <c r="CM81" s="312"/>
      <c r="CN81" s="250"/>
      <c r="CO81" s="199"/>
      <c r="CP81" s="199"/>
      <c r="CQ81" s="197"/>
    </row>
    <row r="82" spans="1:95" ht="15.75" customHeight="1" x14ac:dyDescent="0.3">
      <c r="L82" s="315" t="e">
        <f>RANK(V82,$V$82:$V$83)</f>
        <v>#VALUE!</v>
      </c>
      <c r="M82" s="279" t="str">
        <f t="shared" ref="M82:S82" si="106">+M35</f>
        <v>@</v>
      </c>
      <c r="O82" s="279" t="str">
        <f t="shared" si="106"/>
        <v xml:space="preserve"> </v>
      </c>
      <c r="P82" s="279">
        <f t="shared" si="106"/>
        <v>80</v>
      </c>
      <c r="Q82" s="279">
        <f t="shared" si="106"/>
        <v>0</v>
      </c>
      <c r="R82" s="279">
        <f t="shared" si="106"/>
        <v>0</v>
      </c>
      <c r="S82" s="279">
        <f t="shared" si="106"/>
        <v>0</v>
      </c>
      <c r="T82" s="279" t="str">
        <f>+X35</f>
        <v/>
      </c>
      <c r="U82" s="279">
        <f>+Y35</f>
        <v>0</v>
      </c>
      <c r="V82" s="279" t="e">
        <f>+T82+U82/1000</f>
        <v>#VALUE!</v>
      </c>
      <c r="Z82" s="316"/>
      <c r="AF82" s="198"/>
      <c r="AG82" s="199"/>
      <c r="AH82" s="199"/>
      <c r="AI82" s="197"/>
      <c r="AJ82" s="198"/>
      <c r="AK82" s="199"/>
      <c r="AL82" s="199"/>
      <c r="AM82" s="197"/>
      <c r="AN82" s="198"/>
      <c r="AO82" s="199"/>
      <c r="AP82" s="199"/>
      <c r="AQ82" s="197"/>
      <c r="AR82" s="198"/>
      <c r="AS82" s="199"/>
      <c r="AT82" s="199"/>
      <c r="AU82" s="197"/>
      <c r="AV82" s="198"/>
      <c r="AW82" s="199"/>
      <c r="AX82" s="199"/>
      <c r="AY82" s="197"/>
      <c r="AZ82" s="198"/>
      <c r="BA82" s="199"/>
      <c r="BB82" s="199"/>
      <c r="BC82" s="197"/>
      <c r="BD82" s="198"/>
      <c r="BE82" s="199"/>
      <c r="BF82" s="199"/>
      <c r="BG82" s="197"/>
      <c r="BH82" s="198"/>
      <c r="BI82" s="199"/>
      <c r="BJ82" s="199"/>
      <c r="BK82" s="197"/>
      <c r="BL82" s="198"/>
      <c r="BM82" s="199"/>
      <c r="BN82" s="199"/>
      <c r="BO82" s="197"/>
      <c r="BP82" s="198"/>
      <c r="BQ82" s="199"/>
      <c r="BR82" s="199"/>
      <c r="BS82" s="197"/>
      <c r="BT82" s="198"/>
      <c r="BU82" s="199"/>
      <c r="BV82" s="199"/>
      <c r="BW82" s="197"/>
      <c r="BX82" s="198"/>
      <c r="BY82" s="199"/>
      <c r="BZ82" s="199"/>
      <c r="CA82" s="197"/>
      <c r="CB82" s="198"/>
      <c r="CC82" s="199"/>
      <c r="CD82" s="199"/>
      <c r="CE82" s="197"/>
      <c r="CF82" s="198"/>
      <c r="CG82" s="199"/>
      <c r="CH82" s="199"/>
      <c r="CI82" s="197"/>
      <c r="CJ82" s="198"/>
      <c r="CK82" s="199"/>
      <c r="CL82" s="199"/>
      <c r="CM82" s="197"/>
      <c r="CN82" s="198"/>
      <c r="CO82" s="199"/>
      <c r="CP82" s="199"/>
      <c r="CQ82" s="197"/>
    </row>
    <row r="83" spans="1:95" ht="16.5" customHeight="1" x14ac:dyDescent="0.3">
      <c r="L83" s="315" t="e">
        <f>RANK(V83,$V$82:$V$83)</f>
        <v>#VALUE!</v>
      </c>
      <c r="M83" s="279" t="str">
        <f>+M36</f>
        <v>@</v>
      </c>
      <c r="O83" s="279" t="str">
        <f>+O36</f>
        <v xml:space="preserve"> </v>
      </c>
      <c r="P83" s="279">
        <f>+P82</f>
        <v>80</v>
      </c>
      <c r="Q83" s="279">
        <f>+Q36</f>
        <v>0</v>
      </c>
      <c r="R83" s="279" t="str">
        <f>+R36</f>
        <v/>
      </c>
      <c r="S83" s="279">
        <f>+S36</f>
        <v>0</v>
      </c>
      <c r="T83" s="279" t="str">
        <f>+X36</f>
        <v/>
      </c>
      <c r="U83" s="279">
        <f>+Y36</f>
        <v>0</v>
      </c>
      <c r="V83" s="279" t="e">
        <f>+T83+U83/1000</f>
        <v>#VALUE!</v>
      </c>
      <c r="Z83" s="316"/>
      <c r="AF83" s="250"/>
      <c r="AG83" s="199"/>
      <c r="AH83" s="199"/>
      <c r="AI83" s="197"/>
      <c r="AJ83" s="250"/>
      <c r="AK83" s="199"/>
      <c r="AL83" s="199"/>
      <c r="AM83" s="197"/>
      <c r="AN83" s="250"/>
      <c r="AO83" s="199"/>
      <c r="AP83" s="199"/>
      <c r="AQ83" s="197"/>
      <c r="AR83" s="250"/>
      <c r="AS83" s="199"/>
      <c r="AT83" s="199"/>
      <c r="AU83" s="197"/>
      <c r="AV83" s="250"/>
      <c r="AW83" s="199"/>
      <c r="AX83" s="199"/>
      <c r="AY83" s="197"/>
      <c r="AZ83" s="250"/>
      <c r="BA83" s="199"/>
      <c r="BB83" s="199"/>
      <c r="BC83" s="197"/>
      <c r="BD83" s="250"/>
      <c r="BE83" s="199"/>
      <c r="BF83" s="199"/>
      <c r="BG83" s="197"/>
      <c r="BH83" s="250"/>
      <c r="BI83" s="199"/>
      <c r="BJ83" s="199"/>
      <c r="BK83" s="197"/>
      <c r="BL83" s="250"/>
      <c r="BM83" s="199"/>
      <c r="BN83" s="199"/>
      <c r="BO83" s="197"/>
      <c r="BP83" s="250"/>
      <c r="BQ83" s="199"/>
      <c r="BR83" s="199"/>
      <c r="BS83" s="197"/>
      <c r="BT83" s="250"/>
      <c r="BU83" s="199"/>
      <c r="BV83" s="199"/>
      <c r="BW83" s="197"/>
      <c r="BX83" s="250"/>
      <c r="BY83" s="199"/>
      <c r="BZ83" s="199"/>
      <c r="CA83" s="197"/>
      <c r="CB83" s="250"/>
      <c r="CC83" s="199"/>
      <c r="CD83" s="199"/>
      <c r="CE83" s="197"/>
      <c r="CF83" s="250"/>
      <c r="CG83" s="199"/>
      <c r="CH83" s="199"/>
      <c r="CI83" s="197"/>
      <c r="CJ83" s="250"/>
      <c r="CK83" s="199"/>
      <c r="CL83" s="199"/>
      <c r="CM83" s="197"/>
      <c r="CN83" s="266" t="e">
        <f>VLOOKUP(CO$2,$M$21:$V$28,3,FALSE)</f>
        <v>#N/A</v>
      </c>
      <c r="CO83" s="267"/>
      <c r="CP83" s="267">
        <f>IF(ISERROR(CN83),0,CN83)</f>
        <v>0</v>
      </c>
      <c r="CQ83" s="268">
        <f>CQ84*CP83</f>
        <v>0</v>
      </c>
    </row>
    <row r="84" spans="1:95" ht="15.75" customHeight="1" x14ac:dyDescent="0.3">
      <c r="AF84" s="198"/>
      <c r="AG84" s="199"/>
      <c r="AH84" s="199"/>
      <c r="AI84" s="197"/>
      <c r="AJ84" s="198"/>
      <c r="AK84" s="199"/>
      <c r="AL84" s="199"/>
      <c r="AM84" s="197"/>
      <c r="AN84" s="198"/>
      <c r="AO84" s="199"/>
      <c r="AP84" s="199"/>
      <c r="AQ84" s="197"/>
      <c r="AR84" s="198"/>
      <c r="AS84" s="199"/>
      <c r="AT84" s="199"/>
      <c r="AU84" s="197"/>
      <c r="AV84" s="198"/>
      <c r="AW84" s="199"/>
      <c r="AX84" s="199"/>
      <c r="AY84" s="197"/>
      <c r="AZ84" s="198"/>
      <c r="BA84" s="199"/>
      <c r="BB84" s="199"/>
      <c r="BC84" s="197"/>
      <c r="BD84" s="198"/>
      <c r="BE84" s="199"/>
      <c r="BF84" s="199"/>
      <c r="BG84" s="197"/>
      <c r="BH84" s="198"/>
      <c r="BI84" s="199"/>
      <c r="BJ84" s="199"/>
      <c r="BK84" s="197"/>
      <c r="BL84" s="198"/>
      <c r="BM84" s="199"/>
      <c r="BN84" s="199"/>
      <c r="BO84" s="197"/>
      <c r="BP84" s="198"/>
      <c r="BQ84" s="199"/>
      <c r="BR84" s="199"/>
      <c r="BS84" s="197"/>
      <c r="BT84" s="198"/>
      <c r="BU84" s="199"/>
      <c r="BV84" s="199"/>
      <c r="BW84" s="197"/>
      <c r="BX84" s="198"/>
      <c r="BY84" s="199"/>
      <c r="BZ84" s="199"/>
      <c r="CA84" s="197"/>
      <c r="CB84" s="198"/>
      <c r="CC84" s="199"/>
      <c r="CD84" s="199"/>
      <c r="CE84" s="197"/>
      <c r="CF84" s="198"/>
      <c r="CG84" s="199"/>
      <c r="CH84" s="199"/>
      <c r="CI84" s="197"/>
      <c r="CJ84" s="198"/>
      <c r="CK84" s="199"/>
      <c r="CL84" s="199"/>
      <c r="CM84" s="197"/>
      <c r="CN84" s="266" t="e">
        <f>VLOOKUP(CO$2,$M$21:$V$28,7,FALSE)</f>
        <v>#N/A</v>
      </c>
      <c r="CO84" s="267"/>
      <c r="CP84" s="267">
        <f>IF(ISERROR(CN84),0,CN84)</f>
        <v>0</v>
      </c>
      <c r="CQ84" s="268">
        <f>IF(CP84="*",Lieu,1)</f>
        <v>1</v>
      </c>
    </row>
    <row r="85" spans="1:95" ht="17.25" customHeight="1" x14ac:dyDescent="0.3">
      <c r="AA85" s="197" t="s">
        <v>168</v>
      </c>
      <c r="AB85" s="266" t="e">
        <f>VLOOKUP(AC$2,$O$35:$Y$36,3,FALSE)</f>
        <v>#N/A</v>
      </c>
      <c r="AC85" s="267"/>
      <c r="AD85" s="267">
        <f>IF(ISERROR(AB85),0,AB85)</f>
        <v>0</v>
      </c>
      <c r="AE85" s="268">
        <f>AE86*AD85</f>
        <v>0</v>
      </c>
      <c r="AF85" s="266" t="e">
        <f>VLOOKUP(AG$2,$O$35:$Y$36,3,FALSE)</f>
        <v>#N/A</v>
      </c>
      <c r="AG85" s="267"/>
      <c r="AH85" s="267">
        <f>IF(ISERROR(AF85),0,AF85)</f>
        <v>0</v>
      </c>
      <c r="AI85" s="268">
        <f>AI86*AH85</f>
        <v>0</v>
      </c>
      <c r="AJ85" s="266" t="e">
        <f>VLOOKUP(AK$2,$O$35:$Y$36,3,FALSE)</f>
        <v>#N/A</v>
      </c>
      <c r="AK85" s="267"/>
      <c r="AL85" s="267">
        <f>IF(ISERROR(AJ85),0,AJ85)</f>
        <v>0</v>
      </c>
      <c r="AM85" s="268">
        <f>AM86*AL85</f>
        <v>0</v>
      </c>
      <c r="AN85" s="266" t="e">
        <f>VLOOKUP(AO$2,$O$35:$Y$36,3,FALSE)</f>
        <v>#N/A</v>
      </c>
      <c r="AO85" s="267"/>
      <c r="AP85" s="267">
        <f>IF(ISERROR(AN85),0,AN85)</f>
        <v>0</v>
      </c>
      <c r="AQ85" s="268">
        <f>AQ86*AP85</f>
        <v>0</v>
      </c>
      <c r="AR85" s="266" t="e">
        <f>VLOOKUP(AS$2,$O$35:$Y$36,3,FALSE)</f>
        <v>#N/A</v>
      </c>
      <c r="AS85" s="267"/>
      <c r="AT85" s="267">
        <f>IF(ISERROR(AR85),0,AR85)</f>
        <v>0</v>
      </c>
      <c r="AU85" s="268">
        <f>AU86*AT85</f>
        <v>0</v>
      </c>
      <c r="AV85" s="266" t="e">
        <f>VLOOKUP(AW$2,$O$35:$Y$36,3,FALSE)</f>
        <v>#N/A</v>
      </c>
      <c r="AW85" s="267"/>
      <c r="AX85" s="267">
        <f>IF(ISERROR(AV85),0,AV85)</f>
        <v>0</v>
      </c>
      <c r="AY85" s="268">
        <f>AY86*AX85</f>
        <v>0</v>
      </c>
      <c r="AZ85" s="266" t="e">
        <f>VLOOKUP(BA$2,$O$35:$Y$36,3,FALSE)</f>
        <v>#N/A</v>
      </c>
      <c r="BA85" s="267"/>
      <c r="BB85" s="267">
        <f>IF(ISERROR(AZ85),0,AZ85)</f>
        <v>0</v>
      </c>
      <c r="BC85" s="268">
        <f>BC86*BB85</f>
        <v>0</v>
      </c>
      <c r="BD85" s="266" t="e">
        <f>VLOOKUP(BE$2,$O$35:$Y$36,3,FALSE)</f>
        <v>#N/A</v>
      </c>
      <c r="BE85" s="267"/>
      <c r="BF85" s="267">
        <f>IF(ISERROR(BD85),0,BD85)</f>
        <v>0</v>
      </c>
      <c r="BG85" s="268">
        <f>BG86*BF85</f>
        <v>0</v>
      </c>
      <c r="BH85" s="266" t="e">
        <f>VLOOKUP(BI$2,$M$21:$V$28,3,FALSE)</f>
        <v>#N/A</v>
      </c>
      <c r="BI85" s="267"/>
      <c r="BJ85" s="267">
        <f>IF(ISERROR(BH85),0,BH85)</f>
        <v>0</v>
      </c>
      <c r="BK85" s="268">
        <f>BK86*BJ85</f>
        <v>0</v>
      </c>
      <c r="BL85" s="266" t="e">
        <f>VLOOKUP(BM$2,$M$21:$V$28,3,FALSE)</f>
        <v>#N/A</v>
      </c>
      <c r="BM85" s="267"/>
      <c r="BN85" s="267">
        <f>IF(ISERROR(BL85),0,BL85)</f>
        <v>0</v>
      </c>
      <c r="BO85" s="268">
        <f>BO86*BN85</f>
        <v>0</v>
      </c>
      <c r="BP85" s="266" t="e">
        <f>VLOOKUP(BQ$2,$M$21:$V$28,3,FALSE)</f>
        <v>#N/A</v>
      </c>
      <c r="BQ85" s="267"/>
      <c r="BR85" s="267">
        <f>IF(ISERROR(BP85),0,BP85)</f>
        <v>0</v>
      </c>
      <c r="BS85" s="268">
        <f>BS86*BR85</f>
        <v>0</v>
      </c>
      <c r="BT85" s="266" t="e">
        <f>VLOOKUP(BU$2,$M$21:$V$28,3,FALSE)</f>
        <v>#N/A</v>
      </c>
      <c r="BU85" s="267"/>
      <c r="BV85" s="267">
        <f>IF(ISERROR(BT85),0,BT85)</f>
        <v>0</v>
      </c>
      <c r="BW85" s="268">
        <f>BW86*BV85</f>
        <v>0</v>
      </c>
      <c r="BX85" s="266" t="e">
        <f>VLOOKUP(BY$2,$M$21:$V$28,3,FALSE)</f>
        <v>#N/A</v>
      </c>
      <c r="BY85" s="267"/>
      <c r="BZ85" s="267">
        <f>IF(ISERROR(BX85),0,BX85)</f>
        <v>0</v>
      </c>
      <c r="CA85" s="268">
        <f>CA86*BZ85</f>
        <v>0</v>
      </c>
      <c r="CB85" s="266" t="e">
        <f>VLOOKUP(CC$2,$M$21:$V$28,3,FALSE)</f>
        <v>#N/A</v>
      </c>
      <c r="CC85" s="267"/>
      <c r="CD85" s="267">
        <f>IF(ISERROR(CB85),0,CB85)</f>
        <v>0</v>
      </c>
      <c r="CE85" s="268">
        <f>CE86*CD85</f>
        <v>0</v>
      </c>
      <c r="CF85" s="266" t="e">
        <f>VLOOKUP(CG$2,$M$21:$V$28,3,FALSE)</f>
        <v>#N/A</v>
      </c>
      <c r="CG85" s="267"/>
      <c r="CH85" s="267">
        <f>IF(ISERROR(CF85),0,CF85)</f>
        <v>0</v>
      </c>
      <c r="CI85" s="268">
        <f>CI86*CH85</f>
        <v>0</v>
      </c>
      <c r="CJ85" s="266" t="e">
        <f>VLOOKUP(CK$2,$M$21:$V$28,3,FALSE)</f>
        <v>#N/A</v>
      </c>
      <c r="CK85" s="267"/>
      <c r="CL85" s="267">
        <f>IF(ISERROR(CJ85),0,CJ85)</f>
        <v>0</v>
      </c>
      <c r="CM85" s="268">
        <f>CM86*CL85</f>
        <v>0</v>
      </c>
      <c r="CN85" s="266"/>
      <c r="CO85" s="267"/>
      <c r="CP85" s="269">
        <f>CQ83</f>
        <v>0</v>
      </c>
      <c r="CQ85" s="268"/>
    </row>
    <row r="86" spans="1:95" x14ac:dyDescent="0.3">
      <c r="AA86" s="197"/>
      <c r="AB86" s="266"/>
      <c r="AC86" s="267"/>
      <c r="AD86" s="270">
        <f>IF(ISERROR(AB86),0,AB86)</f>
        <v>0</v>
      </c>
      <c r="AE86" s="268">
        <f>IF(AD86="*",Lieu,1)</f>
        <v>1</v>
      </c>
      <c r="AF86" s="266"/>
      <c r="AG86" s="267"/>
      <c r="AH86" s="267">
        <f>IF(ISERROR(AF86),0,AF86)</f>
        <v>0</v>
      </c>
      <c r="AI86" s="268">
        <f>IF(AH86="*",Lieu,1)</f>
        <v>1</v>
      </c>
      <c r="AJ86" s="266"/>
      <c r="AK86" s="267"/>
      <c r="AL86" s="267">
        <f>IF(ISERROR(AJ86),0,AJ86)</f>
        <v>0</v>
      </c>
      <c r="AM86" s="268">
        <f>IF(AL86="*",Lieu,1)</f>
        <v>1</v>
      </c>
      <c r="AN86" s="266"/>
      <c r="AO86" s="267"/>
      <c r="AP86" s="267">
        <f>IF(ISERROR(AN86),0,AN86)</f>
        <v>0</v>
      </c>
      <c r="AQ86" s="268">
        <f>IF(AP86="*",Lieu,1)</f>
        <v>1</v>
      </c>
      <c r="AR86" s="266"/>
      <c r="AS86" s="267"/>
      <c r="AT86" s="267">
        <f>IF(ISERROR(AR86),0,AR86)</f>
        <v>0</v>
      </c>
      <c r="AU86" s="268">
        <f>IF(AT86="*",Lieu,1)</f>
        <v>1</v>
      </c>
      <c r="AV86" s="266"/>
      <c r="AW86" s="267"/>
      <c r="AX86" s="267">
        <f>IF(ISERROR(AV86),0,AV86)</f>
        <v>0</v>
      </c>
      <c r="AY86" s="268">
        <f>IF(AX86="*",Lieu,1)</f>
        <v>1</v>
      </c>
      <c r="AZ86" s="266"/>
      <c r="BA86" s="267"/>
      <c r="BB86" s="267">
        <f>IF(ISERROR(AZ86),0,AZ86)</f>
        <v>0</v>
      </c>
      <c r="BC86" s="268">
        <f>IF(BB86="*",Lieu,1)</f>
        <v>1</v>
      </c>
      <c r="BD86" s="266"/>
      <c r="BE86" s="267"/>
      <c r="BF86" s="267">
        <f>IF(ISERROR(BD86),0,BD86)</f>
        <v>0</v>
      </c>
      <c r="BG86" s="268">
        <f>IF(BF86="*",Lieu,1)</f>
        <v>1</v>
      </c>
      <c r="BH86" s="266" t="e">
        <f>VLOOKUP(BI$2,$M$21:$V$28,7,FALSE)</f>
        <v>#N/A</v>
      </c>
      <c r="BI86" s="267"/>
      <c r="BJ86" s="267">
        <f>IF(ISERROR(BH86),0,BH86)</f>
        <v>0</v>
      </c>
      <c r="BK86" s="268">
        <f>IF(BJ86="*",Lieu,1)</f>
        <v>1</v>
      </c>
      <c r="BL86" s="266" t="e">
        <f>VLOOKUP(BM$2,$M$21:$V$28,7,FALSE)</f>
        <v>#N/A</v>
      </c>
      <c r="BM86" s="267"/>
      <c r="BN86" s="267">
        <f>IF(ISERROR(BL86),0,BL86)</f>
        <v>0</v>
      </c>
      <c r="BO86" s="268">
        <f>IF(BN86="*",Lieu,1)</f>
        <v>1</v>
      </c>
      <c r="BP86" s="266" t="e">
        <f>VLOOKUP(BQ$2,$M$21:$V$28,7,FALSE)</f>
        <v>#N/A</v>
      </c>
      <c r="BQ86" s="267"/>
      <c r="BR86" s="267">
        <f>IF(ISERROR(BP86),0,BP86)</f>
        <v>0</v>
      </c>
      <c r="BS86" s="268">
        <f>IF(BR86="*",Lieu,1)</f>
        <v>1</v>
      </c>
      <c r="BT86" s="266" t="e">
        <f>VLOOKUP(BU$2,$M$21:$V$28,7,FALSE)</f>
        <v>#N/A</v>
      </c>
      <c r="BU86" s="267"/>
      <c r="BV86" s="267">
        <f>IF(ISERROR(BT86),0,BT86)</f>
        <v>0</v>
      </c>
      <c r="BW86" s="268">
        <f>IF(BV86="*",Lieu,1)</f>
        <v>1</v>
      </c>
      <c r="BX86" s="266" t="e">
        <f>VLOOKUP(BY$2,$M$21:$V$28,7,FALSE)</f>
        <v>#N/A</v>
      </c>
      <c r="BY86" s="267"/>
      <c r="BZ86" s="267">
        <f>IF(ISERROR(BX86),0,BX86)</f>
        <v>0</v>
      </c>
      <c r="CA86" s="268">
        <f>IF(BZ86="*",Lieu,1)</f>
        <v>1</v>
      </c>
      <c r="CB86" s="266" t="e">
        <f>VLOOKUP(CC$2,$M$21:$V$28,7,FALSE)</f>
        <v>#N/A</v>
      </c>
      <c r="CC86" s="267"/>
      <c r="CD86" s="267">
        <f>IF(ISERROR(CB86),0,CB86)</f>
        <v>0</v>
      </c>
      <c r="CE86" s="268">
        <f>IF(CD86="*",Lieu,1)</f>
        <v>1</v>
      </c>
      <c r="CF86" s="266" t="e">
        <f>VLOOKUP(CG$2,$M$21:$V$28,7,FALSE)</f>
        <v>#N/A</v>
      </c>
      <c r="CG86" s="267"/>
      <c r="CH86" s="267">
        <f>IF(ISERROR(CF86),0,CF86)</f>
        <v>0</v>
      </c>
      <c r="CI86" s="268">
        <f>IF(CH86="*",Lieu,1)</f>
        <v>1</v>
      </c>
      <c r="CJ86" s="266" t="e">
        <f>VLOOKUP(CK$2,$M$21:$V$28,7,FALSE)</f>
        <v>#N/A</v>
      </c>
      <c r="CK86" s="267"/>
      <c r="CL86" s="267">
        <f>IF(ISERROR(CJ86),0,CJ86)</f>
        <v>0</v>
      </c>
      <c r="CM86" s="268">
        <f>IF(CL86="*",Lieu,1)</f>
        <v>1</v>
      </c>
      <c r="CN86" s="266" t="e">
        <f>VLOOKUP(CO$2,$M$21:$V$28,4,FALSE)</f>
        <v>#N/A</v>
      </c>
      <c r="CO86" s="267"/>
      <c r="CP86" s="267">
        <f>IF(ISERROR(CN86),0,CN86)</f>
        <v>0</v>
      </c>
      <c r="CQ86" s="268">
        <f>IF(ISERROR(CO86),0,CO86)</f>
        <v>0</v>
      </c>
    </row>
    <row r="87" spans="1:95" ht="15.6" x14ac:dyDescent="0.3">
      <c r="AA87" s="197"/>
      <c r="AB87" s="266"/>
      <c r="AC87" s="267"/>
      <c r="AD87" s="271">
        <f>AE85</f>
        <v>0</v>
      </c>
      <c r="AE87" s="268"/>
      <c r="AF87" s="266"/>
      <c r="AG87" s="267"/>
      <c r="AH87" s="269">
        <f>AI85</f>
        <v>0</v>
      </c>
      <c r="AI87" s="268"/>
      <c r="AJ87" s="266"/>
      <c r="AK87" s="267"/>
      <c r="AL87" s="269">
        <f>AM85</f>
        <v>0</v>
      </c>
      <c r="AM87" s="268"/>
      <c r="AN87" s="266"/>
      <c r="AO87" s="267"/>
      <c r="AP87" s="269">
        <f>AQ85</f>
        <v>0</v>
      </c>
      <c r="AQ87" s="268"/>
      <c r="AR87" s="266"/>
      <c r="AS87" s="267"/>
      <c r="AT87" s="269">
        <f>AU85</f>
        <v>0</v>
      </c>
      <c r="AU87" s="268"/>
      <c r="AV87" s="266"/>
      <c r="AW87" s="267"/>
      <c r="AX87" s="269">
        <f>AY85</f>
        <v>0</v>
      </c>
      <c r="AY87" s="268"/>
      <c r="AZ87" s="266"/>
      <c r="BA87" s="267"/>
      <c r="BB87" s="269">
        <f>BC85</f>
        <v>0</v>
      </c>
      <c r="BC87" s="268"/>
      <c r="BD87" s="266"/>
      <c r="BE87" s="267"/>
      <c r="BF87" s="269">
        <f>BG85</f>
        <v>0</v>
      </c>
      <c r="BG87" s="268"/>
      <c r="BH87" s="266"/>
      <c r="BI87" s="267"/>
      <c r="BJ87" s="269">
        <f>BK85</f>
        <v>0</v>
      </c>
      <c r="BK87" s="268"/>
      <c r="BL87" s="266"/>
      <c r="BM87" s="267"/>
      <c r="BN87" s="269">
        <f>BO85</f>
        <v>0</v>
      </c>
      <c r="BO87" s="268"/>
      <c r="BP87" s="266"/>
      <c r="BQ87" s="267"/>
      <c r="BR87" s="269">
        <f>BS85</f>
        <v>0</v>
      </c>
      <c r="BS87" s="268"/>
      <c r="BT87" s="266"/>
      <c r="BU87" s="267"/>
      <c r="BV87" s="269">
        <f>BW85</f>
        <v>0</v>
      </c>
      <c r="BW87" s="268"/>
      <c r="BX87" s="266"/>
      <c r="BY87" s="267"/>
      <c r="BZ87" s="269">
        <f>CA85</f>
        <v>0</v>
      </c>
      <c r="CA87" s="268"/>
      <c r="CB87" s="266"/>
      <c r="CC87" s="267"/>
      <c r="CD87" s="269">
        <f>CE85</f>
        <v>0</v>
      </c>
      <c r="CE87" s="268"/>
      <c r="CF87" s="266"/>
      <c r="CG87" s="267"/>
      <c r="CH87" s="269">
        <f>CI85</f>
        <v>0</v>
      </c>
      <c r="CI87" s="268"/>
      <c r="CJ87" s="266"/>
      <c r="CK87" s="267"/>
      <c r="CL87" s="269">
        <f>CM85</f>
        <v>0</v>
      </c>
      <c r="CM87" s="268"/>
      <c r="CN87" s="266"/>
      <c r="CO87" s="267"/>
      <c r="CP87" s="267">
        <f>CP86+CQ86</f>
        <v>0</v>
      </c>
      <c r="CQ87" s="268"/>
    </row>
    <row r="88" spans="1:95" ht="15.6" x14ac:dyDescent="0.3">
      <c r="P88" s="276" t="s">
        <v>421</v>
      </c>
      <c r="Q88" s="276" t="s">
        <v>67</v>
      </c>
      <c r="R88" s="276" t="s">
        <v>418</v>
      </c>
      <c r="S88" s="276" t="s">
        <v>153</v>
      </c>
      <c r="AA88" s="197" t="s">
        <v>169</v>
      </c>
      <c r="AB88" s="266" t="e">
        <f>VLOOKUP(AC$2,$O$35:$Y$36,4,FALSE)</f>
        <v>#N/A</v>
      </c>
      <c r="AC88" s="267"/>
      <c r="AD88" s="267">
        <f>IF(ISERROR(AB88),0,AB88)</f>
        <v>0</v>
      </c>
      <c r="AE88" s="268">
        <f>IF(ISERROR(AC88),0,AC88)</f>
        <v>0</v>
      </c>
      <c r="AF88" s="266" t="e">
        <f>VLOOKUP(AG$2,$O$35:$Y$36,4,FALSE)</f>
        <v>#N/A</v>
      </c>
      <c r="AG88" s="267"/>
      <c r="AH88" s="267">
        <f>IF(ISERROR(AF88),0,AF88)</f>
        <v>0</v>
      </c>
      <c r="AI88" s="268">
        <f>IF(ISERROR(AG88),0,AG88)</f>
        <v>0</v>
      </c>
      <c r="AJ88" s="266" t="e">
        <f>VLOOKUP(AK$2,$O$35:$Y$36,4,FALSE)</f>
        <v>#N/A</v>
      </c>
      <c r="AK88" s="267"/>
      <c r="AL88" s="267">
        <f>IF(ISERROR(AJ88),0,AJ88)</f>
        <v>0</v>
      </c>
      <c r="AM88" s="268">
        <f>IF(ISERROR(AK88),0,AK88)</f>
        <v>0</v>
      </c>
      <c r="AN88" s="266" t="e">
        <f>VLOOKUP(AO$2,$O$35:$Y$36,4,FALSE)</f>
        <v>#N/A</v>
      </c>
      <c r="AO88" s="267"/>
      <c r="AP88" s="267">
        <f>IF(ISERROR(AN88),0,AN88)</f>
        <v>0</v>
      </c>
      <c r="AQ88" s="268">
        <f>IF(ISERROR(AO88),0,AO88)</f>
        <v>0</v>
      </c>
      <c r="AR88" s="266" t="e">
        <f>VLOOKUP(AS$2,$O$35:$Y$36,4,FALSE)</f>
        <v>#N/A</v>
      </c>
      <c r="AS88" s="267"/>
      <c r="AT88" s="267">
        <f>IF(ISERROR(AR88),0,AR88)</f>
        <v>0</v>
      </c>
      <c r="AU88" s="268">
        <f>IF(ISERROR(AS88),0,AS88)</f>
        <v>0</v>
      </c>
      <c r="AV88" s="266" t="e">
        <f>VLOOKUP(AW$2,$O$35:$Y$36,4,FALSE)</f>
        <v>#N/A</v>
      </c>
      <c r="AW88" s="267"/>
      <c r="AX88" s="267">
        <f>IF(ISERROR(AV88),0,AV88)</f>
        <v>0</v>
      </c>
      <c r="AY88" s="268">
        <f>IF(ISERROR(AW88),0,AW88)</f>
        <v>0</v>
      </c>
      <c r="AZ88" s="266" t="e">
        <f>VLOOKUP(BA$2,$O$35:$Y$36,4,FALSE)</f>
        <v>#N/A</v>
      </c>
      <c r="BA88" s="267"/>
      <c r="BB88" s="267">
        <f>IF(ISERROR(AZ88),0,AZ88)</f>
        <v>0</v>
      </c>
      <c r="BC88" s="268">
        <f>IF(ISERROR(BA88),0,BA88)</f>
        <v>0</v>
      </c>
      <c r="BD88" s="266" t="e">
        <f>VLOOKUP(BE$2,$O$35:$Y$36,4,FALSE)</f>
        <v>#N/A</v>
      </c>
      <c r="BE88" s="267"/>
      <c r="BF88" s="267">
        <f>IF(ISERROR(BD88),0,BD88)</f>
        <v>0</v>
      </c>
      <c r="BG88" s="268">
        <f>IF(ISERROR(BE88),0,BE88)</f>
        <v>0</v>
      </c>
      <c r="BH88" s="266" t="e">
        <f>VLOOKUP(BI$2,$M$21:$V$28,4,FALSE)</f>
        <v>#N/A</v>
      </c>
      <c r="BI88" s="267"/>
      <c r="BJ88" s="267">
        <f>IF(ISERROR(BH88),0,BH88)</f>
        <v>0</v>
      </c>
      <c r="BK88" s="268">
        <f>IF(ISERROR(BI88),0,BI88)</f>
        <v>0</v>
      </c>
      <c r="BL88" s="266" t="e">
        <f>VLOOKUP(BM$2,$M$21:$V$28,4,FALSE)</f>
        <v>#N/A</v>
      </c>
      <c r="BM88" s="267"/>
      <c r="BN88" s="267">
        <f>IF(ISERROR(BL88),0,BL88)</f>
        <v>0</v>
      </c>
      <c r="BO88" s="268">
        <f>IF(ISERROR(BM88),0,BM88)</f>
        <v>0</v>
      </c>
      <c r="BP88" s="266" t="e">
        <f>VLOOKUP(BQ$2,$M$21:$V$28,4,FALSE)</f>
        <v>#N/A</v>
      </c>
      <c r="BQ88" s="267"/>
      <c r="BR88" s="267">
        <f>IF(ISERROR(BP88),0,BP88)</f>
        <v>0</v>
      </c>
      <c r="BS88" s="268">
        <f>IF(ISERROR(BQ88),0,BQ88)</f>
        <v>0</v>
      </c>
      <c r="BT88" s="266" t="e">
        <f>VLOOKUP(BU$2,$M$21:$V$28,4,FALSE)</f>
        <v>#N/A</v>
      </c>
      <c r="BU88" s="267"/>
      <c r="BV88" s="267">
        <f>IF(ISERROR(BT88),0,BT88)</f>
        <v>0</v>
      </c>
      <c r="BW88" s="268">
        <f>IF(ISERROR(BU88),0,BU88)</f>
        <v>0</v>
      </c>
      <c r="BX88" s="266" t="e">
        <f>VLOOKUP(BY$2,$M$21:$V$28,4,FALSE)</f>
        <v>#N/A</v>
      </c>
      <c r="BY88" s="267"/>
      <c r="BZ88" s="267">
        <f>IF(ISERROR(BX88),0,BX88)</f>
        <v>0</v>
      </c>
      <c r="CA88" s="268">
        <f>IF(ISERROR(BY88),0,BY88)</f>
        <v>0</v>
      </c>
      <c r="CB88" s="266" t="e">
        <f>VLOOKUP(CC$2,$M$21:$V$28,4,FALSE)</f>
        <v>#N/A</v>
      </c>
      <c r="CC88" s="267"/>
      <c r="CD88" s="267">
        <f>IF(ISERROR(CB88),0,CB88)</f>
        <v>0</v>
      </c>
      <c r="CE88" s="268">
        <f>IF(ISERROR(CC88),0,CC88)</f>
        <v>0</v>
      </c>
      <c r="CF88" s="266" t="e">
        <f>VLOOKUP(CG$2,$M$21:$V$28,4,FALSE)</f>
        <v>#N/A</v>
      </c>
      <c r="CG88" s="267"/>
      <c r="CH88" s="267">
        <f>IF(ISERROR(CF88),0,CF88)</f>
        <v>0</v>
      </c>
      <c r="CI88" s="268">
        <f>IF(ISERROR(CG88),0,CG88)</f>
        <v>0</v>
      </c>
      <c r="CJ88" s="266" t="e">
        <f>VLOOKUP(CK$2,$M$21:$V$28,4,FALSE)</f>
        <v>#N/A</v>
      </c>
      <c r="CK88" s="267"/>
      <c r="CL88" s="267">
        <f>IF(ISERROR(CJ88),0,CJ88)</f>
        <v>0</v>
      </c>
      <c r="CM88" s="268">
        <f>IF(ISERROR(CK88),0,CK88)</f>
        <v>0</v>
      </c>
      <c r="CN88" s="266" t="e">
        <f>VLOOKUP(CO$2,$M$21:$V$28,10,FALSE)</f>
        <v>#N/A</v>
      </c>
      <c r="CO88" s="267"/>
      <c r="CP88" s="269">
        <f>IF(ISERROR(CN88),0,CN88)</f>
        <v>0</v>
      </c>
      <c r="CQ88" s="268">
        <f>IF(ISERROR(CO88),0,CO88)</f>
        <v>0</v>
      </c>
    </row>
    <row r="89" spans="1:95" x14ac:dyDescent="0.3">
      <c r="O89" s="279" t="str">
        <f>IF(Tirage!$B$6="","",Tirage!$B$6)</f>
        <v>HENWOOD PHILIPPE</v>
      </c>
      <c r="P89" s="279">
        <f ca="1">IF(O89="","",SUMIF($C$6:$K$36,O89,$E$6:$E$36))</f>
        <v>184</v>
      </c>
      <c r="Q89" s="279">
        <f ca="1">IF(O89="","",SUMIF($C$6:$K$36,O89,$F$6:$F$36))</f>
        <v>45</v>
      </c>
      <c r="R89" s="279">
        <f ca="1">IF(O89="","",SUMIF($C$6:$K$36,O89,$K$6:$K$36))</f>
        <v>2</v>
      </c>
      <c r="S89" s="317"/>
      <c r="AA89" s="197"/>
      <c r="AB89" s="266"/>
      <c r="AC89" s="267"/>
      <c r="AD89" s="267">
        <f>AD88+AE88</f>
        <v>0</v>
      </c>
      <c r="AE89" s="268"/>
      <c r="AF89" s="266"/>
      <c r="AG89" s="267"/>
      <c r="AH89" s="267">
        <f>AH88+AI88</f>
        <v>0</v>
      </c>
      <c r="AI89" s="268"/>
      <c r="AJ89" s="266"/>
      <c r="AK89" s="267"/>
      <c r="AL89" s="267">
        <f>AL88+AM88</f>
        <v>0</v>
      </c>
      <c r="AM89" s="268"/>
      <c r="AN89" s="266"/>
      <c r="AO89" s="267"/>
      <c r="AP89" s="267">
        <f>AP88+AQ88</f>
        <v>0</v>
      </c>
      <c r="AQ89" s="268"/>
      <c r="AR89" s="266"/>
      <c r="AS89" s="267"/>
      <c r="AT89" s="267">
        <f>AT88+AU88</f>
        <v>0</v>
      </c>
      <c r="AU89" s="268"/>
      <c r="AV89" s="266"/>
      <c r="AW89" s="267"/>
      <c r="AX89" s="267">
        <f>AX88+AY88</f>
        <v>0</v>
      </c>
      <c r="AY89" s="268"/>
      <c r="AZ89" s="266"/>
      <c r="BA89" s="267"/>
      <c r="BB89" s="267">
        <f>BB88+BC88</f>
        <v>0</v>
      </c>
      <c r="BC89" s="268"/>
      <c r="BD89" s="266"/>
      <c r="BE89" s="267"/>
      <c r="BF89" s="267">
        <f>BF88+BG88</f>
        <v>0</v>
      </c>
      <c r="BG89" s="268"/>
      <c r="BH89" s="266"/>
      <c r="BI89" s="267"/>
      <c r="BJ89" s="267">
        <f>BJ88+BK88</f>
        <v>0</v>
      </c>
      <c r="BK89" s="268"/>
      <c r="BL89" s="266"/>
      <c r="BM89" s="267"/>
      <c r="BN89" s="267">
        <f>BN88+BO88</f>
        <v>0</v>
      </c>
      <c r="BO89" s="268"/>
      <c r="BP89" s="266"/>
      <c r="BQ89" s="267"/>
      <c r="BR89" s="267">
        <f>BR88+BS88</f>
        <v>0</v>
      </c>
      <c r="BS89" s="268"/>
      <c r="BT89" s="266"/>
      <c r="BU89" s="267"/>
      <c r="BV89" s="267">
        <f>BV88+BW88</f>
        <v>0</v>
      </c>
      <c r="BW89" s="268"/>
      <c r="BX89" s="266"/>
      <c r="BY89" s="267"/>
      <c r="BZ89" s="267">
        <f>BZ88+CA88</f>
        <v>0</v>
      </c>
      <c r="CA89" s="268"/>
      <c r="CB89" s="266"/>
      <c r="CC89" s="267"/>
      <c r="CD89" s="267">
        <f>CD88+CE88</f>
        <v>0</v>
      </c>
      <c r="CE89" s="268"/>
      <c r="CF89" s="266"/>
      <c r="CG89" s="267"/>
      <c r="CH89" s="267">
        <f>CH88+CI88</f>
        <v>0</v>
      </c>
      <c r="CI89" s="268"/>
      <c r="CJ89" s="266"/>
      <c r="CK89" s="267"/>
      <c r="CL89" s="267">
        <f>CL88+CM88</f>
        <v>0</v>
      </c>
      <c r="CM89" s="268"/>
      <c r="CN89" s="266"/>
      <c r="CO89" s="267"/>
      <c r="CP89" s="267"/>
      <c r="CQ89" s="268"/>
    </row>
    <row r="90" spans="1:95" ht="15.6" x14ac:dyDescent="0.3">
      <c r="O90" s="279" t="str">
        <f>IF(Tirage!$B$6="","",Tirage!$B$6)</f>
        <v>HENWOOD PHILIPPE</v>
      </c>
      <c r="P90" s="279">
        <f ca="1">IF(O90="","",SUMIF($O$6:$Y$36,O90,$Q$6:$Q$36))</f>
        <v>80</v>
      </c>
      <c r="Q90" s="279">
        <f ca="1">IF(O90="","",SUMIF($O$6:$Y$36,O90,$R$6:$R$36))</f>
        <v>8</v>
      </c>
      <c r="R90" s="279">
        <f ca="1">IF(O90="","",SUMIF($O$6:$Y$36,O90,$X$6:$X$36))</f>
        <v>2</v>
      </c>
      <c r="S90" s="317"/>
      <c r="AA90" s="197" t="s">
        <v>170</v>
      </c>
      <c r="AB90" s="266" t="e">
        <f>VLOOKUP(AC$2,$O$35:$Y$36,10,FALSE)</f>
        <v>#N/A</v>
      </c>
      <c r="AC90" s="267"/>
      <c r="AD90" s="271">
        <f>IF(ISERROR(AB90),0,AB90)</f>
        <v>0</v>
      </c>
      <c r="AE90" s="268">
        <f>IF(ISERROR(AC90),0,AC90)</f>
        <v>0</v>
      </c>
      <c r="AF90" s="266" t="e">
        <f>VLOOKUP(AG$2,$O$35:$Y$36,10,FALSE)</f>
        <v>#N/A</v>
      </c>
      <c r="AG90" s="267"/>
      <c r="AH90" s="269">
        <f>IF(ISERROR(AF90),0,AF90)</f>
        <v>0</v>
      </c>
      <c r="AI90" s="268">
        <f>IF(ISERROR(AG90),0,AG90)</f>
        <v>0</v>
      </c>
      <c r="AJ90" s="266" t="e">
        <f>VLOOKUP(AK$2,$O$35:$Y$36,10,FALSE)</f>
        <v>#N/A</v>
      </c>
      <c r="AK90" s="267"/>
      <c r="AL90" s="269">
        <f>IF(ISERROR(AJ90),0,AJ90)</f>
        <v>0</v>
      </c>
      <c r="AM90" s="268">
        <f>IF(ISERROR(AK90),0,AK90)</f>
        <v>0</v>
      </c>
      <c r="AN90" s="266" t="e">
        <f>VLOOKUP(AO$2,$O$35:$Y$36,10,FALSE)</f>
        <v>#N/A</v>
      </c>
      <c r="AO90" s="267"/>
      <c r="AP90" s="269">
        <f>IF(ISERROR(AN90),0,AN90)</f>
        <v>0</v>
      </c>
      <c r="AQ90" s="268">
        <f>IF(ISERROR(AO90),0,AO90)</f>
        <v>0</v>
      </c>
      <c r="AR90" s="266" t="e">
        <f>VLOOKUP(AS$2,$O$35:$Y$36,10,FALSE)</f>
        <v>#N/A</v>
      </c>
      <c r="AS90" s="267"/>
      <c r="AT90" s="269">
        <f>IF(ISERROR(AR90),0,AR90)</f>
        <v>0</v>
      </c>
      <c r="AU90" s="268">
        <f>IF(ISERROR(AS90),0,AS90)</f>
        <v>0</v>
      </c>
      <c r="AV90" s="266" t="e">
        <f>VLOOKUP(AW$2,$O$35:$Y$36,10,FALSE)</f>
        <v>#N/A</v>
      </c>
      <c r="AW90" s="267"/>
      <c r="AX90" s="269">
        <f>IF(ISERROR(AV90),0,AV90)</f>
        <v>0</v>
      </c>
      <c r="AY90" s="268">
        <f>IF(ISERROR(AW90),0,AW90)</f>
        <v>0</v>
      </c>
      <c r="AZ90" s="266" t="e">
        <f>VLOOKUP(BA$2,$O$35:$Y$36,10,FALSE)</f>
        <v>#N/A</v>
      </c>
      <c r="BA90" s="267"/>
      <c r="BB90" s="269">
        <f>IF(ISERROR(AZ90),0,AZ90)</f>
        <v>0</v>
      </c>
      <c r="BC90" s="268">
        <f>IF(ISERROR(BA90),0,BA90)</f>
        <v>0</v>
      </c>
      <c r="BD90" s="266" t="e">
        <f>VLOOKUP(BE$2,$O$35:$Y$36,10,FALSE)</f>
        <v>#N/A</v>
      </c>
      <c r="BE90" s="267"/>
      <c r="BF90" s="269">
        <f>IF(ISERROR(BD90),0,BD90)</f>
        <v>0</v>
      </c>
      <c r="BG90" s="268">
        <f>IF(ISERROR(BE90),0,BE90)</f>
        <v>0</v>
      </c>
      <c r="BH90" s="266" t="e">
        <f>VLOOKUP(BI$2,$M$21:$V$28,10,FALSE)</f>
        <v>#N/A</v>
      </c>
      <c r="BI90" s="267"/>
      <c r="BJ90" s="269">
        <f>IF(ISERROR(BH90),0,BH90)</f>
        <v>0</v>
      </c>
      <c r="BK90" s="268">
        <f>IF(ISERROR(BI90),0,BI90)</f>
        <v>0</v>
      </c>
      <c r="BL90" s="266" t="e">
        <f>VLOOKUP(BM$2,$M$21:$V$28,10,FALSE)</f>
        <v>#N/A</v>
      </c>
      <c r="BM90" s="267"/>
      <c r="BN90" s="269">
        <f>IF(ISERROR(BL90),0,BL90)</f>
        <v>0</v>
      </c>
      <c r="BO90" s="268">
        <f>IF(ISERROR(BM90),0,BM90)</f>
        <v>0</v>
      </c>
      <c r="BP90" s="266" t="e">
        <f>VLOOKUP(BQ$2,$M$21:$V$28,10,FALSE)</f>
        <v>#N/A</v>
      </c>
      <c r="BQ90" s="267"/>
      <c r="BR90" s="269">
        <f>IF(ISERROR(BP90),0,BP90)</f>
        <v>0</v>
      </c>
      <c r="BS90" s="268">
        <f>IF(ISERROR(BQ90),0,BQ90)</f>
        <v>0</v>
      </c>
      <c r="BT90" s="266" t="e">
        <f>VLOOKUP(BU$2,$M$21:$V$28,10,FALSE)</f>
        <v>#N/A</v>
      </c>
      <c r="BU90" s="267"/>
      <c r="BV90" s="269">
        <f>IF(ISERROR(BT90),0,BT90)</f>
        <v>0</v>
      </c>
      <c r="BW90" s="268">
        <f>IF(ISERROR(BU90),0,BU90)</f>
        <v>0</v>
      </c>
      <c r="BX90" s="266" t="e">
        <f>VLOOKUP(BY$2,$M$21:$V$28,10,FALSE)</f>
        <v>#N/A</v>
      </c>
      <c r="BY90" s="267"/>
      <c r="BZ90" s="269">
        <f>IF(ISERROR(BX90),0,BX90)</f>
        <v>0</v>
      </c>
      <c r="CA90" s="268">
        <f>IF(ISERROR(BY90),0,BY90)</f>
        <v>0</v>
      </c>
      <c r="CB90" s="266" t="e">
        <f>VLOOKUP(CC$2,$M$21:$V$28,10,FALSE)</f>
        <v>#N/A</v>
      </c>
      <c r="CC90" s="267"/>
      <c r="CD90" s="269">
        <f>IF(ISERROR(CB90),0,CB90)</f>
        <v>0</v>
      </c>
      <c r="CE90" s="268">
        <f>IF(ISERROR(CC90),0,CC90)</f>
        <v>0</v>
      </c>
      <c r="CF90" s="266" t="e">
        <f>VLOOKUP(CG$2,$M$21:$V$28,10,FALSE)</f>
        <v>#N/A</v>
      </c>
      <c r="CG90" s="267"/>
      <c r="CH90" s="269">
        <f>IF(ISERROR(CF90),0,CF90)</f>
        <v>0</v>
      </c>
      <c r="CI90" s="268">
        <f>IF(ISERROR(CG90),0,CG90)</f>
        <v>0</v>
      </c>
      <c r="CJ90" s="266" t="e">
        <f>VLOOKUP(CK$2,$M$21:$V$28,10,FALSE)</f>
        <v>#N/A</v>
      </c>
      <c r="CK90" s="267"/>
      <c r="CL90" s="269">
        <f>IF(ISERROR(CJ90),0,CJ90)</f>
        <v>0</v>
      </c>
      <c r="CM90" s="268">
        <f>IF(ISERROR(CK90),0,CK90)</f>
        <v>0</v>
      </c>
      <c r="CN90" s="266" t="e">
        <f>VLOOKUP(CO$2,$M$21:$V$28,5,FALSE)</f>
        <v>#N/A</v>
      </c>
      <c r="CO90" s="267"/>
      <c r="CP90" s="267">
        <f>IF(ISERROR(CN90),0,CN90)</f>
        <v>0</v>
      </c>
      <c r="CQ90" s="268">
        <f>IF(ISERROR(CO90),0,CO90)</f>
        <v>0</v>
      </c>
    </row>
    <row r="91" spans="1:95" x14ac:dyDescent="0.3">
      <c r="A91" s="261">
        <f ca="1">IF(C91="","",RANK(H91,$H$91:$H$106))</f>
        <v>2</v>
      </c>
      <c r="B91" s="261"/>
      <c r="C91" s="275" t="str">
        <f>IF(O91="","",O91)</f>
        <v>HENWOOD PHILIPPE</v>
      </c>
      <c r="D91" s="276">
        <f ca="1">IF(O91="","",P91)</f>
        <v>264</v>
      </c>
      <c r="E91" s="276">
        <f ca="1">IF(O91="","",Q91)</f>
        <v>53</v>
      </c>
      <c r="F91" s="276">
        <f ca="1">IF(O91="","",R91)</f>
        <v>4</v>
      </c>
      <c r="G91" s="277">
        <f ca="1">IF(O91="","",S91)</f>
        <v>4.9811320754716979</v>
      </c>
      <c r="H91" s="318">
        <f ca="1">IF(O91="","",F91+G91/1000)</f>
        <v>4.0049811320754714</v>
      </c>
      <c r="O91" s="317" t="str">
        <f>IF(Tirage!$B$6="","",Tirage!$B$6)</f>
        <v>HENWOOD PHILIPPE</v>
      </c>
      <c r="P91" s="317">
        <f ca="1">IF(O91="","",SUM(P89:P90))</f>
        <v>264</v>
      </c>
      <c r="Q91" s="317">
        <f ca="1">IF(O91="","",SUM(Q89:Q90))</f>
        <v>53</v>
      </c>
      <c r="R91" s="317">
        <f ca="1">IF(O91="","",SUM(R89:R90))</f>
        <v>4</v>
      </c>
      <c r="S91" s="319">
        <f ca="1">IF(O91="","",P91/Q91)</f>
        <v>4.9811320754716979</v>
      </c>
      <c r="AA91" s="199"/>
      <c r="AB91" s="266"/>
      <c r="AC91" s="267"/>
      <c r="AD91" s="267"/>
      <c r="AE91" s="268"/>
      <c r="AF91" s="266"/>
      <c r="AG91" s="267"/>
      <c r="AH91" s="267"/>
      <c r="AI91" s="268"/>
      <c r="AJ91" s="266"/>
      <c r="AK91" s="267"/>
      <c r="AL91" s="267"/>
      <c r="AM91" s="268"/>
      <c r="AN91" s="266"/>
      <c r="AO91" s="267"/>
      <c r="AP91" s="267"/>
      <c r="AQ91" s="268"/>
      <c r="AR91" s="266"/>
      <c r="AS91" s="267"/>
      <c r="AT91" s="267"/>
      <c r="AU91" s="268"/>
      <c r="AV91" s="266"/>
      <c r="AW91" s="267"/>
      <c r="AX91" s="267"/>
      <c r="AY91" s="268"/>
      <c r="AZ91" s="266"/>
      <c r="BA91" s="267"/>
      <c r="BB91" s="267"/>
      <c r="BC91" s="268"/>
      <c r="BD91" s="266"/>
      <c r="BE91" s="267"/>
      <c r="BF91" s="267"/>
      <c r="BG91" s="268"/>
      <c r="BH91" s="266"/>
      <c r="BI91" s="267"/>
      <c r="BJ91" s="267"/>
      <c r="BK91" s="268"/>
      <c r="BL91" s="266"/>
      <c r="BM91" s="267"/>
      <c r="BN91" s="267"/>
      <c r="BO91" s="268"/>
      <c r="BP91" s="266"/>
      <c r="BQ91" s="267"/>
      <c r="BR91" s="267"/>
      <c r="BS91" s="268"/>
      <c r="BT91" s="266"/>
      <c r="BU91" s="267"/>
      <c r="BV91" s="267"/>
      <c r="BW91" s="268"/>
      <c r="BX91" s="266"/>
      <c r="BY91" s="267"/>
      <c r="BZ91" s="267"/>
      <c r="CA91" s="268"/>
      <c r="CB91" s="266"/>
      <c r="CC91" s="267"/>
      <c r="CD91" s="267"/>
      <c r="CE91" s="268"/>
      <c r="CF91" s="266"/>
      <c r="CG91" s="267"/>
      <c r="CH91" s="267"/>
      <c r="CI91" s="268"/>
      <c r="CJ91" s="266"/>
      <c r="CK91" s="267"/>
      <c r="CL91" s="267"/>
      <c r="CM91" s="268"/>
      <c r="CN91" s="266"/>
      <c r="CO91" s="267"/>
      <c r="CP91" s="267">
        <f>CP90+CQ90</f>
        <v>0</v>
      </c>
      <c r="CQ91" s="268"/>
    </row>
    <row r="92" spans="1:95" x14ac:dyDescent="0.3">
      <c r="O92" s="279" t="str">
        <f>IF(Tirage!$B$7="","",Tirage!$B$7)</f>
        <v>CASTANER GEORGES</v>
      </c>
      <c r="P92" s="279">
        <f ca="1">IF(O92="","",SUMIF($C$6:$K$36,O92,$E$6:$E$36))</f>
        <v>208</v>
      </c>
      <c r="Q92" s="279">
        <f ca="1">IF(O92="","",SUMIF($C$6:$K$36,O92,$F$6:$F$36))</f>
        <v>70</v>
      </c>
      <c r="R92" s="279">
        <f ca="1">IF(O92="","",SUMIF($C$6:$K$36,O92,$K$6:$K$36))</f>
        <v>4</v>
      </c>
      <c r="S92" s="317"/>
      <c r="AA92" s="199" t="s">
        <v>171</v>
      </c>
      <c r="AB92" s="266" t="e">
        <f>VLOOKUP(AC$2,$O$35:$Y$36,5,FALSE)</f>
        <v>#N/A</v>
      </c>
      <c r="AC92" s="267"/>
      <c r="AD92" s="267">
        <f>IF(ISERROR(AB92),0,AB92)</f>
        <v>0</v>
      </c>
      <c r="AE92" s="268">
        <f>IF(ISERROR(AC92),0,AC92)</f>
        <v>0</v>
      </c>
      <c r="AF92" s="266" t="e">
        <f>VLOOKUP(AG$2,$O$35:$Y$36,5,FALSE)</f>
        <v>#N/A</v>
      </c>
      <c r="AG92" s="267"/>
      <c r="AH92" s="267">
        <f>IF(ISERROR(AF92),0,AF92)</f>
        <v>0</v>
      </c>
      <c r="AI92" s="268">
        <f>IF(ISERROR(AG92),0,AG92)</f>
        <v>0</v>
      </c>
      <c r="AJ92" s="266" t="e">
        <f>VLOOKUP(AK$2,$O$35:$Y$36,5,FALSE)</f>
        <v>#N/A</v>
      </c>
      <c r="AK92" s="267"/>
      <c r="AL92" s="267">
        <f>IF(ISERROR(AJ92),0,AJ92)</f>
        <v>0</v>
      </c>
      <c r="AM92" s="268">
        <f>IF(ISERROR(AK92),0,AK92)</f>
        <v>0</v>
      </c>
      <c r="AN92" s="266" t="e">
        <f>VLOOKUP(AO$2,$O$35:$Y$36,5,FALSE)</f>
        <v>#N/A</v>
      </c>
      <c r="AO92" s="267"/>
      <c r="AP92" s="267">
        <f>IF(ISERROR(AN92),0,AN92)</f>
        <v>0</v>
      </c>
      <c r="AQ92" s="268">
        <f>IF(ISERROR(AO92),0,AO92)</f>
        <v>0</v>
      </c>
      <c r="AR92" s="266" t="e">
        <f>VLOOKUP(AS$2,$O$35:$Y$36,5,FALSE)</f>
        <v>#N/A</v>
      </c>
      <c r="AS92" s="267"/>
      <c r="AT92" s="267">
        <f>IF(ISERROR(AR92),0,AR92)</f>
        <v>0</v>
      </c>
      <c r="AU92" s="268">
        <f>IF(ISERROR(AS92),0,AS92)</f>
        <v>0</v>
      </c>
      <c r="AV92" s="266" t="e">
        <f>VLOOKUP(AW$2,$O$35:$Y$36,5,FALSE)</f>
        <v>#N/A</v>
      </c>
      <c r="AW92" s="267"/>
      <c r="AX92" s="267">
        <f>IF(ISERROR(AV92),0,AV92)</f>
        <v>0</v>
      </c>
      <c r="AY92" s="268">
        <f>IF(ISERROR(AW92),0,AW92)</f>
        <v>0</v>
      </c>
      <c r="AZ92" s="266" t="e">
        <f>VLOOKUP(BA$2,$O$35:$Y$36,5,FALSE)</f>
        <v>#N/A</v>
      </c>
      <c r="BA92" s="267"/>
      <c r="BB92" s="267">
        <f>IF(ISERROR(AZ92),0,AZ92)</f>
        <v>0</v>
      </c>
      <c r="BC92" s="268">
        <f>IF(ISERROR(BA92),0,BA92)</f>
        <v>0</v>
      </c>
      <c r="BD92" s="266" t="e">
        <f>VLOOKUP(BE$2,$O$35:$Y$36,5,FALSE)</f>
        <v>#N/A</v>
      </c>
      <c r="BE92" s="267"/>
      <c r="BF92" s="267">
        <f>IF(ISERROR(BD92),0,BD92)</f>
        <v>0</v>
      </c>
      <c r="BG92" s="268">
        <f>IF(ISERROR(BE92),0,BE92)</f>
        <v>0</v>
      </c>
      <c r="BH92" s="266" t="e">
        <f>VLOOKUP(BI$2,$M$21:$V$28,5,FALSE)</f>
        <v>#N/A</v>
      </c>
      <c r="BI92" s="267"/>
      <c r="BJ92" s="267">
        <f>IF(ISERROR(BH92),0,BH92)</f>
        <v>0</v>
      </c>
      <c r="BK92" s="268">
        <f>IF(ISERROR(BI92),0,BI92)</f>
        <v>0</v>
      </c>
      <c r="BL92" s="266" t="e">
        <f>VLOOKUP(BM$2,$M$21:$V$28,5,FALSE)</f>
        <v>#N/A</v>
      </c>
      <c r="BM92" s="267"/>
      <c r="BN92" s="267">
        <f>IF(ISERROR(BL92),0,BL92)</f>
        <v>0</v>
      </c>
      <c r="BO92" s="268">
        <f>IF(ISERROR(BM92),0,BM92)</f>
        <v>0</v>
      </c>
      <c r="BP92" s="266" t="e">
        <f>VLOOKUP(BQ$2,$M$21:$V$28,5,FALSE)</f>
        <v>#N/A</v>
      </c>
      <c r="BQ92" s="267"/>
      <c r="BR92" s="267">
        <f>IF(ISERROR(BP92),0,BP92)</f>
        <v>0</v>
      </c>
      <c r="BS92" s="268">
        <f>IF(ISERROR(BQ92),0,BQ92)</f>
        <v>0</v>
      </c>
      <c r="BT92" s="266" t="e">
        <f>VLOOKUP(BU$2,$M$21:$V$28,5,FALSE)</f>
        <v>#N/A</v>
      </c>
      <c r="BU92" s="267"/>
      <c r="BV92" s="267">
        <f>IF(ISERROR(BT92),0,BT92)</f>
        <v>0</v>
      </c>
      <c r="BW92" s="268">
        <f>IF(ISERROR(BU92),0,BU92)</f>
        <v>0</v>
      </c>
      <c r="BX92" s="266" t="e">
        <f>VLOOKUP(BY$2,$M$21:$V$28,5,FALSE)</f>
        <v>#N/A</v>
      </c>
      <c r="BY92" s="267"/>
      <c r="BZ92" s="267">
        <f>IF(ISERROR(BX92),0,BX92)</f>
        <v>0</v>
      </c>
      <c r="CA92" s="268">
        <f>IF(ISERROR(BY92),0,BY92)</f>
        <v>0</v>
      </c>
      <c r="CB92" s="266" t="e">
        <f>VLOOKUP(CC$2,$M$21:$V$28,5,FALSE)</f>
        <v>#N/A</v>
      </c>
      <c r="CC92" s="267"/>
      <c r="CD92" s="267">
        <f>IF(ISERROR(CB92),0,CB92)</f>
        <v>0</v>
      </c>
      <c r="CE92" s="268">
        <f>IF(ISERROR(CC92),0,CC92)</f>
        <v>0</v>
      </c>
      <c r="CF92" s="266" t="e">
        <f>VLOOKUP(CG$2,$M$21:$V$28,5,FALSE)</f>
        <v>#N/A</v>
      </c>
      <c r="CG92" s="267"/>
      <c r="CH92" s="267">
        <f>IF(ISERROR(CF92),0,CF92)</f>
        <v>0</v>
      </c>
      <c r="CI92" s="268">
        <f>IF(ISERROR(CG92),0,CG92)</f>
        <v>0</v>
      </c>
      <c r="CJ92" s="266" t="e">
        <f>VLOOKUP(CK$2,$M$21:$V$28,5,FALSE)</f>
        <v>#N/A</v>
      </c>
      <c r="CK92" s="267"/>
      <c r="CL92" s="267">
        <f>IF(ISERROR(CJ92),0,CJ92)</f>
        <v>0</v>
      </c>
      <c r="CM92" s="268">
        <f>IF(ISERROR(CK92),0,CK92)</f>
        <v>0</v>
      </c>
      <c r="CN92" s="262">
        <f>IF(CP88&gt;=1,CP85/CP87,0)</f>
        <v>0</v>
      </c>
      <c r="CO92" s="267"/>
      <c r="CP92" s="267"/>
      <c r="CQ92" s="268"/>
    </row>
    <row r="93" spans="1:95" x14ac:dyDescent="0.3">
      <c r="O93" s="279" t="str">
        <f>IF(Tirage!$B$7="","",Tirage!$B$7)</f>
        <v>CASTANER GEORGES</v>
      </c>
      <c r="P93" s="279">
        <f ca="1">IF(O93="","",SUMIF($O$6:$Y$36,O93,$Q$6:$Q$36))</f>
        <v>38</v>
      </c>
      <c r="Q93" s="279">
        <f ca="1">IF(O93="","",SUMIF($O$6:$Y$36,O93,$R$6:$R$36))</f>
        <v>8</v>
      </c>
      <c r="R93" s="279">
        <f ca="1">IF(O93="","",SUMIF($O$6:$Y$36,O93,$X$6:$X$36))</f>
        <v>0</v>
      </c>
      <c r="S93" s="317"/>
      <c r="AA93" s="199"/>
      <c r="AB93" s="266"/>
      <c r="AC93" s="267"/>
      <c r="AD93" s="270">
        <f>AD92+AE92</f>
        <v>0</v>
      </c>
      <c r="AE93" s="268"/>
      <c r="AF93" s="266"/>
      <c r="AG93" s="267"/>
      <c r="AH93" s="267">
        <f>AH92+AI92</f>
        <v>0</v>
      </c>
      <c r="AI93" s="268"/>
      <c r="AJ93" s="266"/>
      <c r="AK93" s="267"/>
      <c r="AL93" s="267">
        <f>AL92+AM92</f>
        <v>0</v>
      </c>
      <c r="AM93" s="268"/>
      <c r="AN93" s="266"/>
      <c r="AO93" s="267"/>
      <c r="AP93" s="267">
        <f>AP92+AQ92</f>
        <v>0</v>
      </c>
      <c r="AQ93" s="268"/>
      <c r="AR93" s="266"/>
      <c r="AS93" s="267"/>
      <c r="AT93" s="267">
        <f>AT92+AU92</f>
        <v>0</v>
      </c>
      <c r="AU93" s="268"/>
      <c r="AV93" s="266"/>
      <c r="AW93" s="267"/>
      <c r="AX93" s="267">
        <f>AX92+AY92</f>
        <v>0</v>
      </c>
      <c r="AY93" s="268"/>
      <c r="AZ93" s="266"/>
      <c r="BA93" s="267"/>
      <c r="BB93" s="267">
        <f>BB92+BC92</f>
        <v>0</v>
      </c>
      <c r="BC93" s="268"/>
      <c r="BD93" s="266"/>
      <c r="BE93" s="267"/>
      <c r="BF93" s="267">
        <f>BF92+BG92</f>
        <v>0</v>
      </c>
      <c r="BG93" s="268"/>
      <c r="BH93" s="266"/>
      <c r="BI93" s="267"/>
      <c r="BJ93" s="267">
        <f>BJ92+BK92</f>
        <v>0</v>
      </c>
      <c r="BK93" s="268"/>
      <c r="BL93" s="266"/>
      <c r="BM93" s="267"/>
      <c r="BN93" s="267">
        <f>BN92+BO92</f>
        <v>0</v>
      </c>
      <c r="BO93" s="268"/>
      <c r="BP93" s="266"/>
      <c r="BQ93" s="267"/>
      <c r="BR93" s="267">
        <f>BR92+BS92</f>
        <v>0</v>
      </c>
      <c r="BS93" s="268"/>
      <c r="BT93" s="266"/>
      <c r="BU93" s="267"/>
      <c r="BV93" s="267">
        <f>BV92+BW92</f>
        <v>0</v>
      </c>
      <c r="BW93" s="268"/>
      <c r="BX93" s="266"/>
      <c r="BY93" s="267"/>
      <c r="BZ93" s="267">
        <f>BZ92+CA92</f>
        <v>0</v>
      </c>
      <c r="CA93" s="268"/>
      <c r="CB93" s="266"/>
      <c r="CC93" s="267"/>
      <c r="CD93" s="267">
        <f>CD92+CE92</f>
        <v>0</v>
      </c>
      <c r="CE93" s="268"/>
      <c r="CF93" s="266"/>
      <c r="CG93" s="267"/>
      <c r="CH93" s="267">
        <f>CH92+CI92</f>
        <v>0</v>
      </c>
      <c r="CI93" s="268"/>
      <c r="CJ93" s="266"/>
      <c r="CK93" s="267"/>
      <c r="CL93" s="267">
        <f>CL92+CM92</f>
        <v>0</v>
      </c>
      <c r="CM93" s="268"/>
      <c r="CN93" s="266"/>
      <c r="CO93" s="267"/>
      <c r="CP93" s="267"/>
      <c r="CQ93" s="268"/>
    </row>
    <row r="94" spans="1:95" x14ac:dyDescent="0.3">
      <c r="A94" s="261">
        <f ca="1">IF(C94="","",RANK(H94,$H$91:$H$106))</f>
        <v>3</v>
      </c>
      <c r="B94" s="261"/>
      <c r="C94" s="275" t="str">
        <f>IF(O94="","",O94)</f>
        <v>CASTANER GEORGES</v>
      </c>
      <c r="D94" s="276">
        <f ca="1">IF(O94="","",P94)</f>
        <v>246</v>
      </c>
      <c r="E94" s="276">
        <f ca="1">IF(O94="","",Q94)</f>
        <v>78</v>
      </c>
      <c r="F94" s="276">
        <f ca="1">IF(O94="","",R94)</f>
        <v>4</v>
      </c>
      <c r="G94" s="277">
        <f ca="1">IF(O94="","",S94)</f>
        <v>3.1538461538461537</v>
      </c>
      <c r="H94" s="318">
        <f ca="1">IF(O94="","",F94+G94/1000)</f>
        <v>4.0031538461538458</v>
      </c>
      <c r="O94" s="317" t="str">
        <f>IF(Tirage!$B$7="","",Tirage!$B$7)</f>
        <v>CASTANER GEORGES</v>
      </c>
      <c r="P94" s="317">
        <f ca="1">IF(O94="","",SUM(P92:P93))</f>
        <v>246</v>
      </c>
      <c r="Q94" s="317">
        <f ca="1">IF(O94="","",SUM(Q92:Q93))</f>
        <v>78</v>
      </c>
      <c r="R94" s="317">
        <f ca="1">IF(O94="","",SUM(R92:R93))</f>
        <v>4</v>
      </c>
      <c r="S94" s="319">
        <f ca="1">IF(O94="","",P94/Q94)</f>
        <v>3.1538461538461537</v>
      </c>
      <c r="AA94" s="199"/>
      <c r="AB94" s="262">
        <f>IF(AD90&gt;=1,AD87/AD89,0)</f>
        <v>0</v>
      </c>
      <c r="AC94" s="267"/>
      <c r="AD94" s="267"/>
      <c r="AE94" s="268"/>
      <c r="AF94" s="262">
        <f>IF(AH90&gt;=1,AH87/AH89,0)</f>
        <v>0</v>
      </c>
      <c r="AG94" s="267"/>
      <c r="AH94" s="267"/>
      <c r="AI94" s="268"/>
      <c r="AJ94" s="262">
        <f>IF(AL90&gt;=1,AL87/AL89,0)</f>
        <v>0</v>
      </c>
      <c r="AK94" s="267"/>
      <c r="AL94" s="267"/>
      <c r="AM94" s="268"/>
      <c r="AN94" s="262">
        <f>IF(AP90&gt;=1,AP87/AP89,0)</f>
        <v>0</v>
      </c>
      <c r="AO94" s="267"/>
      <c r="AP94" s="267"/>
      <c r="AQ94" s="268"/>
      <c r="AR94" s="262">
        <f>IF(AT90&gt;=1,AT87/AT89,0)</f>
        <v>0</v>
      </c>
      <c r="AS94" s="267"/>
      <c r="AT94" s="267"/>
      <c r="AU94" s="268"/>
      <c r="AV94" s="262">
        <f>IF(AX90&gt;=1,AX87/AX89,0)</f>
        <v>0</v>
      </c>
      <c r="AW94" s="267"/>
      <c r="AX94" s="267"/>
      <c r="AY94" s="268"/>
      <c r="AZ94" s="262">
        <f>IF(BB90&gt;=1,BB87/BB89,0)</f>
        <v>0</v>
      </c>
      <c r="BA94" s="267"/>
      <c r="BB94" s="267"/>
      <c r="BC94" s="268"/>
      <c r="BD94" s="262">
        <f>IF(BF90&gt;=1,BF87/BF89,0)</f>
        <v>0</v>
      </c>
      <c r="BE94" s="267"/>
      <c r="BF94" s="267"/>
      <c r="BG94" s="268"/>
      <c r="BH94" s="262">
        <f>IF(BJ90&gt;=1,BJ87/BJ89,0)</f>
        <v>0</v>
      </c>
      <c r="BI94" s="267"/>
      <c r="BJ94" s="267"/>
      <c r="BK94" s="268"/>
      <c r="BL94" s="262">
        <f>IF(BN90&gt;=1,BN87/BN89,0)</f>
        <v>0</v>
      </c>
      <c r="BM94" s="267"/>
      <c r="BN94" s="267"/>
      <c r="BO94" s="268"/>
      <c r="BP94" s="262">
        <f>IF(BR90&gt;=1,BR87/BR89,0)</f>
        <v>0</v>
      </c>
      <c r="BQ94" s="267"/>
      <c r="BR94" s="267"/>
      <c r="BS94" s="268"/>
      <c r="BT94" s="262">
        <f>IF(BV90&gt;=1,BV87/BV89,0)</f>
        <v>0</v>
      </c>
      <c r="BU94" s="267"/>
      <c r="BV94" s="267"/>
      <c r="BW94" s="268"/>
      <c r="BX94" s="262">
        <f>IF(BZ90&gt;=1,BZ87/BZ89,0)</f>
        <v>0</v>
      </c>
      <c r="BY94" s="267"/>
      <c r="BZ94" s="267"/>
      <c r="CA94" s="268"/>
      <c r="CB94" s="262">
        <f>IF(CD90&gt;=1,CD87/CD89,0)</f>
        <v>0</v>
      </c>
      <c r="CC94" s="267"/>
      <c r="CD94" s="267"/>
      <c r="CE94" s="268"/>
      <c r="CF94" s="262">
        <f>IF(CH90&gt;=1,CH87/CH89,0)</f>
        <v>0</v>
      </c>
      <c r="CG94" s="267"/>
      <c r="CH94" s="267"/>
      <c r="CI94" s="268"/>
      <c r="CJ94" s="262">
        <f>IF(CL90&gt;=1,CL87/CL89,0)</f>
        <v>0</v>
      </c>
      <c r="CK94" s="267"/>
      <c r="CL94" s="267"/>
      <c r="CM94" s="268"/>
      <c r="CN94" s="320"/>
      <c r="CO94" s="320"/>
      <c r="CP94" s="320"/>
      <c r="CQ94" s="320"/>
    </row>
    <row r="95" spans="1:95" ht="15.6" x14ac:dyDescent="0.3">
      <c r="O95" s="279" t="str">
        <f>IF(Tirage!$B$8="","",Tirage!$B$8)</f>
        <v>CREDOT GERALD</v>
      </c>
      <c r="P95" s="279">
        <f ca="1">IF(O95="","",SUMIF($C$6:$K$36,O95,$E$6:$E$36))</f>
        <v>320</v>
      </c>
      <c r="Q95" s="279">
        <f ca="1">IF(O95="","",SUMIF($C$6:$K$36,O95,$F$6:$F$36))</f>
        <v>86</v>
      </c>
      <c r="R95" s="279">
        <f ca="1">IF(O95="","",SUMIF($C$6:$K$36,O95,$K$6:$K$36))</f>
        <v>7</v>
      </c>
      <c r="S95" s="317"/>
      <c r="AA95" s="199"/>
      <c r="AB95" s="266"/>
      <c r="AC95" s="267"/>
      <c r="AD95" s="267"/>
      <c r="AE95" s="268"/>
      <c r="AF95" s="266"/>
      <c r="AG95" s="267"/>
      <c r="AH95" s="267"/>
      <c r="AI95" s="268"/>
      <c r="AJ95" s="266"/>
      <c r="AK95" s="267"/>
      <c r="AL95" s="267"/>
      <c r="AM95" s="268"/>
      <c r="AN95" s="266"/>
      <c r="AO95" s="267"/>
      <c r="AP95" s="267"/>
      <c r="AQ95" s="268"/>
      <c r="AR95" s="266"/>
      <c r="AS95" s="267"/>
      <c r="AT95" s="267"/>
      <c r="AU95" s="268"/>
      <c r="AV95" s="266"/>
      <c r="AW95" s="267"/>
      <c r="AX95" s="267"/>
      <c r="AY95" s="268"/>
      <c r="AZ95" s="266"/>
      <c r="BA95" s="267"/>
      <c r="BB95" s="267"/>
      <c r="BC95" s="268"/>
      <c r="BD95" s="266"/>
      <c r="BE95" s="267"/>
      <c r="BF95" s="267"/>
      <c r="BG95" s="268"/>
      <c r="BH95" s="266"/>
      <c r="BI95" s="267"/>
      <c r="BJ95" s="267"/>
      <c r="BK95" s="268"/>
      <c r="BL95" s="266"/>
      <c r="BM95" s="267"/>
      <c r="BN95" s="267"/>
      <c r="BO95" s="268"/>
      <c r="BP95" s="266"/>
      <c r="BQ95" s="267"/>
      <c r="BR95" s="267"/>
      <c r="BS95" s="268"/>
      <c r="BT95" s="266"/>
      <c r="BU95" s="267"/>
      <c r="BV95" s="267"/>
      <c r="BW95" s="268"/>
      <c r="BX95" s="266"/>
      <c r="BY95" s="267"/>
      <c r="BZ95" s="267"/>
      <c r="CA95" s="268"/>
      <c r="CB95" s="266"/>
      <c r="CC95" s="267"/>
      <c r="CD95" s="267"/>
      <c r="CE95" s="268"/>
      <c r="CF95" s="266"/>
      <c r="CG95" s="267"/>
      <c r="CH95" s="267"/>
      <c r="CI95" s="268"/>
      <c r="CJ95" s="266"/>
      <c r="CK95" s="267"/>
      <c r="CL95" s="267"/>
      <c r="CM95" s="268"/>
      <c r="CN95" s="320" t="s">
        <v>172</v>
      </c>
      <c r="CO95" s="321">
        <f>IF(AND(CP88=2,CP79=2),Tirage!$D$51,IF(AND(CP88=0,CP79=2),Tirage!$D$52,IF(AND(CP88=2,CP79=1),Tirage!$D$53,IF(AND(CP88=0,CP79=1),Tirage!$D$54,0))))</f>
        <v>0</v>
      </c>
      <c r="CP95" s="269">
        <f>IF(ISERROR(CO95),0,CO95)</f>
        <v>0</v>
      </c>
      <c r="CQ95" s="320"/>
    </row>
    <row r="96" spans="1:95" x14ac:dyDescent="0.3">
      <c r="O96" s="279" t="str">
        <f>IF(Tirage!$B$8="","",Tirage!$B$8)</f>
        <v>CREDOT GERALD</v>
      </c>
      <c r="P96" s="279">
        <f ca="1">IF(O96="","",SUMIF($O$6:$Y$36,O96,$Q$6:$Q$36))</f>
        <v>0</v>
      </c>
      <c r="Q96" s="279">
        <f ca="1">IF(O96="","",SUMIF($O$6:$Y$36,O96,$R$6:$R$36))</f>
        <v>0</v>
      </c>
      <c r="R96" s="279">
        <f ca="1">IF(O96="","",SUMIF($O$6:$Y$36,O96,$X$6:$X$36))</f>
        <v>0</v>
      </c>
      <c r="S96" s="317"/>
      <c r="AB96" s="320"/>
      <c r="AC96" s="320"/>
      <c r="AD96" s="320"/>
      <c r="AE96" s="320"/>
      <c r="AF96" s="320"/>
      <c r="AG96" s="320"/>
      <c r="AH96" s="320"/>
      <c r="AI96" s="320"/>
      <c r="AJ96" s="320"/>
      <c r="AK96" s="320"/>
      <c r="AL96" s="320"/>
      <c r="AM96" s="320"/>
      <c r="AN96" s="320"/>
      <c r="AO96" s="320"/>
      <c r="AP96" s="320"/>
      <c r="AQ96" s="320"/>
      <c r="AR96" s="320"/>
      <c r="AS96" s="320"/>
      <c r="AT96" s="320"/>
      <c r="AU96" s="320"/>
      <c r="AV96" s="320"/>
      <c r="AW96" s="320"/>
      <c r="AX96" s="320">
        <f>AX90+AX104</f>
        <v>0</v>
      </c>
      <c r="AY96" s="320"/>
      <c r="AZ96" s="320"/>
      <c r="BA96" s="320"/>
      <c r="BB96" s="320"/>
      <c r="BC96" s="320"/>
      <c r="BD96" s="320"/>
      <c r="BE96" s="320"/>
      <c r="BF96" s="320"/>
      <c r="BG96" s="320"/>
      <c r="BH96" s="320"/>
      <c r="BI96" s="320"/>
      <c r="BJ96" s="320"/>
      <c r="BK96" s="320"/>
      <c r="BL96" s="320"/>
      <c r="BM96" s="320"/>
      <c r="BN96" s="320"/>
      <c r="BO96" s="320"/>
      <c r="BP96" s="320"/>
      <c r="BQ96" s="320"/>
      <c r="BR96" s="320"/>
      <c r="BS96" s="320"/>
      <c r="BT96" s="320"/>
      <c r="BU96" s="320"/>
      <c r="BV96" s="320"/>
      <c r="BW96" s="320"/>
      <c r="BX96" s="320"/>
      <c r="BY96" s="320"/>
      <c r="BZ96" s="320"/>
      <c r="CA96" s="320"/>
      <c r="CB96" s="320"/>
      <c r="CC96" s="320"/>
      <c r="CD96" s="320"/>
      <c r="CE96" s="320"/>
      <c r="CF96" s="320"/>
      <c r="CG96" s="320"/>
      <c r="CH96" s="320"/>
      <c r="CI96" s="320"/>
      <c r="CJ96" s="320"/>
      <c r="CK96" s="320"/>
      <c r="CL96" s="320"/>
      <c r="CM96" s="320"/>
      <c r="CN96" s="198"/>
      <c r="CO96" s="199"/>
      <c r="CP96" s="199"/>
      <c r="CQ96" s="197"/>
    </row>
    <row r="97" spans="1:95" ht="15.6" x14ac:dyDescent="0.3">
      <c r="A97" s="261">
        <f ca="1">IF(C97="","",RANK(H97,$H$91:$H$106))</f>
        <v>1</v>
      </c>
      <c r="B97" s="261"/>
      <c r="C97" s="275" t="str">
        <f>IF(O97="","",O97)</f>
        <v>CREDOT GERALD</v>
      </c>
      <c r="D97" s="276">
        <f ca="1">IF(O97="","",P97)</f>
        <v>320</v>
      </c>
      <c r="E97" s="276">
        <f ca="1">IF(O97="","",Q97)</f>
        <v>86</v>
      </c>
      <c r="F97" s="276">
        <f ca="1">IF(O97="","",R97)</f>
        <v>7</v>
      </c>
      <c r="G97" s="277">
        <f ca="1">IF(O97="","",S97)</f>
        <v>3.7209302325581395</v>
      </c>
      <c r="H97" s="318">
        <f ca="1">IF(O97="","",F97+G97/1000)</f>
        <v>7.003720930232558</v>
      </c>
      <c r="O97" s="317" t="str">
        <f>IF(Tirage!$B$8="","",Tirage!$B$8)</f>
        <v>CREDOT GERALD</v>
      </c>
      <c r="P97" s="317">
        <f ca="1">IF(O97="","",SUM(P95:P96))</f>
        <v>320</v>
      </c>
      <c r="Q97" s="317">
        <f ca="1">IF(O97="","",SUM(Q95:Q96))</f>
        <v>86</v>
      </c>
      <c r="R97" s="317">
        <f ca="1">IF(O97="","",SUM(R95:R96))</f>
        <v>7</v>
      </c>
      <c r="S97" s="319">
        <f ca="1">IF(O97="","",P97/Q97)</f>
        <v>3.7209302325581395</v>
      </c>
      <c r="AB97" s="320" t="s">
        <v>172</v>
      </c>
      <c r="AC97" s="321" t="e">
        <f>IF(AND(AB88&gt;0,AB90=2),50,30)</f>
        <v>#N/A</v>
      </c>
      <c r="AD97" s="269">
        <f>IF(ISERROR(AC97),0,AC97)</f>
        <v>0</v>
      </c>
      <c r="AE97" s="320"/>
      <c r="AF97" s="320" t="s">
        <v>172</v>
      </c>
      <c r="AG97" s="321" t="e">
        <f>IF(AND(AF88&gt;0,AF90=2),50,30)</f>
        <v>#N/A</v>
      </c>
      <c r="AH97" s="269">
        <f>IF(ISERROR(AG97),0,AG97)</f>
        <v>0</v>
      </c>
      <c r="AI97" s="320"/>
      <c r="AJ97" s="320" t="s">
        <v>172</v>
      </c>
      <c r="AK97" s="321" t="e">
        <f>IF(AND(AJ88&gt;0,AJ90=2),50,30)</f>
        <v>#N/A</v>
      </c>
      <c r="AL97" s="269">
        <f>IF(ISERROR(AK97),0,AK97)</f>
        <v>0</v>
      </c>
      <c r="AM97" s="320"/>
      <c r="AN97" s="320" t="s">
        <v>172</v>
      </c>
      <c r="AO97" s="321" t="e">
        <f>IF(AND(AN88&gt;0,AN90=2),50,30)</f>
        <v>#N/A</v>
      </c>
      <c r="AP97" s="269">
        <f>IF(ISERROR(AO97),0,AO97)</f>
        <v>0</v>
      </c>
      <c r="AQ97" s="320"/>
      <c r="AR97" s="320" t="s">
        <v>172</v>
      </c>
      <c r="AS97" s="321" t="e">
        <f>IF(AND(AR88&gt;0,AR90=2),50,30)</f>
        <v>#N/A</v>
      </c>
      <c r="AT97" s="269">
        <f>IF(ISERROR(AS97),0,AS97)</f>
        <v>0</v>
      </c>
      <c r="AU97" s="320"/>
      <c r="AV97" s="320" t="s">
        <v>172</v>
      </c>
      <c r="AW97" s="321" t="e">
        <f>IF(AND(AV88&gt;0,AV90=2),50,30)</f>
        <v>#N/A</v>
      </c>
      <c r="AX97" s="269">
        <f>IF(ISERROR(AW97),0,AW97)</f>
        <v>0</v>
      </c>
      <c r="AY97" s="320"/>
      <c r="AZ97" s="320" t="s">
        <v>172</v>
      </c>
      <c r="BA97" s="321" t="e">
        <f>IF(AND(AZ88&gt;0,AZ90=2),50,30)</f>
        <v>#N/A</v>
      </c>
      <c r="BB97" s="269">
        <f>IF(ISERROR(BA97),0,BA97)</f>
        <v>0</v>
      </c>
      <c r="BC97" s="320"/>
      <c r="BD97" s="320" t="s">
        <v>172</v>
      </c>
      <c r="BE97" s="321" t="e">
        <f>IF(AND(BD88&gt;0,BD90=2),50,30)</f>
        <v>#N/A</v>
      </c>
      <c r="BF97" s="269">
        <f>IF(ISERROR(BE97),0,BE97)</f>
        <v>0</v>
      </c>
      <c r="BG97" s="320"/>
      <c r="BH97" s="320" t="s">
        <v>172</v>
      </c>
      <c r="BI97" s="321" t="e">
        <f>IF(AND(BH88&gt;0,BH90=2),50,30)</f>
        <v>#N/A</v>
      </c>
      <c r="BJ97" s="269">
        <f>IF(ISERROR(BI97),0,BI97)</f>
        <v>0</v>
      </c>
      <c r="BK97" s="320"/>
      <c r="BL97" s="320" t="s">
        <v>172</v>
      </c>
      <c r="BM97" s="321" t="e">
        <f>IF(AND(BL88&gt;0,BL90=2),50,30)</f>
        <v>#N/A</v>
      </c>
      <c r="BN97" s="269">
        <f>IF(ISERROR(BM97),0,BM97)</f>
        <v>0</v>
      </c>
      <c r="BO97" s="320"/>
      <c r="BP97" s="320" t="s">
        <v>172</v>
      </c>
      <c r="BQ97" s="321" t="e">
        <f>IF(AND(BP88&gt;0,BP90=2),50,30)</f>
        <v>#N/A</v>
      </c>
      <c r="BR97" s="269">
        <f>IF(ISERROR(BQ97),0,BQ97)</f>
        <v>0</v>
      </c>
      <c r="BS97" s="320"/>
      <c r="BT97" s="320" t="s">
        <v>172</v>
      </c>
      <c r="BU97" s="321" t="e">
        <f>IF(AND(BT88&gt;0,BT90=2),50,30)</f>
        <v>#N/A</v>
      </c>
      <c r="BV97" s="269">
        <f>IF(ISERROR(BU97),0,BU97)</f>
        <v>0</v>
      </c>
      <c r="BW97" s="320"/>
      <c r="BX97" s="320" t="s">
        <v>172</v>
      </c>
      <c r="BY97" s="321" t="e">
        <f>IF(AND(BX88&gt;0,BX90=2),50,30)</f>
        <v>#N/A</v>
      </c>
      <c r="BZ97" s="269">
        <f>IF(ISERROR(BY97),0,BY97)</f>
        <v>0</v>
      </c>
      <c r="CA97" s="320"/>
      <c r="CB97" s="320" t="s">
        <v>172</v>
      </c>
      <c r="CC97" s="321" t="e">
        <f>IF(AND(CB88&gt;0,CB90=2),50,30)</f>
        <v>#N/A</v>
      </c>
      <c r="CD97" s="269">
        <f>IF(ISERROR(CC97),0,CC97)</f>
        <v>0</v>
      </c>
      <c r="CE97" s="320"/>
      <c r="CF97" s="320" t="s">
        <v>172</v>
      </c>
      <c r="CG97" s="321" t="e">
        <f>IF(AND(CF88&gt;0,CF90=2),50,30)</f>
        <v>#N/A</v>
      </c>
      <c r="CH97" s="269">
        <f>IF(ISERROR(CG97),0,CG97)</f>
        <v>0</v>
      </c>
      <c r="CI97" s="320"/>
      <c r="CJ97" s="320" t="s">
        <v>172</v>
      </c>
      <c r="CK97" s="321" t="e">
        <f>IF(AND(CJ88&gt;0,CJ90=2),50,30)</f>
        <v>#N/A</v>
      </c>
      <c r="CL97" s="269">
        <f>IF(ISERROR(CK97),0,CK97)</f>
        <v>0</v>
      </c>
      <c r="CM97" s="320"/>
      <c r="CN97" s="198"/>
      <c r="CO97" s="199"/>
      <c r="CP97" s="199"/>
      <c r="CQ97" s="197"/>
    </row>
    <row r="98" spans="1:95" ht="15.6" x14ac:dyDescent="0.3">
      <c r="O98" s="279" t="str">
        <f>IF(Tirage!$B$9="","",Tirage!$B$9)</f>
        <v>BLANCHARD THIERRY</v>
      </c>
      <c r="P98" s="279">
        <f ca="1">IF(O98="","",SUMIF($C$6:$K$36,O98,$E$6:$E$36))</f>
        <v>134</v>
      </c>
      <c r="Q98" s="279">
        <f ca="1">IF(O98="","",SUMIF($C$6:$K$36,O98,$F$6:$F$36))</f>
        <v>62</v>
      </c>
      <c r="R98" s="279">
        <f ca="1">IF(O98="","",SUMIF($C$6:$K$36,O98,$K$6:$K$36))</f>
        <v>0</v>
      </c>
      <c r="S98" s="317"/>
      <c r="AF98" s="198"/>
      <c r="AG98" s="199"/>
      <c r="AH98" s="199"/>
      <c r="AI98" s="197"/>
      <c r="AJ98" s="198"/>
      <c r="AK98" s="199"/>
      <c r="AL98" s="199"/>
      <c r="AM98" s="197"/>
      <c r="AN98" s="198"/>
      <c r="AO98" s="199"/>
      <c r="AP98" s="199"/>
      <c r="AQ98" s="197"/>
      <c r="AR98" s="198"/>
      <c r="AS98" s="199"/>
      <c r="AT98" s="199"/>
      <c r="AU98" s="197"/>
      <c r="AV98" s="198"/>
      <c r="AW98" s="199"/>
      <c r="AX98" s="199"/>
      <c r="AY98" s="197"/>
      <c r="AZ98" s="198"/>
      <c r="BA98" s="199"/>
      <c r="BB98" s="199"/>
      <c r="BC98" s="197"/>
      <c r="BD98" s="198"/>
      <c r="BE98" s="199"/>
      <c r="BF98" s="199"/>
      <c r="BG98" s="197"/>
      <c r="BH98" s="198"/>
      <c r="BI98" s="199"/>
      <c r="BJ98" s="199"/>
      <c r="BK98" s="197"/>
      <c r="BL98" s="198"/>
      <c r="BM98" s="199"/>
      <c r="BN98" s="199"/>
      <c r="BO98" s="197"/>
      <c r="BP98" s="198"/>
      <c r="BQ98" s="199"/>
      <c r="BR98" s="199"/>
      <c r="BS98" s="197"/>
      <c r="BT98" s="198"/>
      <c r="BU98" s="199"/>
      <c r="BV98" s="199"/>
      <c r="BW98" s="197"/>
      <c r="BX98" s="198"/>
      <c r="BY98" s="199"/>
      <c r="BZ98" s="199"/>
      <c r="CA98" s="197"/>
      <c r="CB98" s="198"/>
      <c r="CC98" s="199"/>
      <c r="CD98" s="199"/>
      <c r="CE98" s="197"/>
      <c r="CF98" s="198"/>
      <c r="CG98" s="199"/>
      <c r="CH98" s="199"/>
      <c r="CI98" s="197"/>
      <c r="CJ98" s="198"/>
      <c r="CK98" s="199"/>
      <c r="CL98" s="199"/>
      <c r="CM98" s="197"/>
      <c r="CN98" s="250">
        <f>CP85+CP70+CP53+CP12</f>
        <v>0</v>
      </c>
      <c r="CO98" s="199"/>
      <c r="CP98" s="272">
        <f>IF(ISERROR(CN98),0,CN98)</f>
        <v>0</v>
      </c>
      <c r="CQ98" s="197"/>
    </row>
    <row r="99" spans="1:95" ht="15.6" x14ac:dyDescent="0.3">
      <c r="O99" s="279" t="str">
        <f>IF(Tirage!$B$9="","",Tirage!$B$9)</f>
        <v>BLANCHARD THIERRY</v>
      </c>
      <c r="P99" s="279">
        <f ca="1">IF(O99="","",SUMIF($O$6:$Y$36,O99,$Q$6:$Q$36))</f>
        <v>80</v>
      </c>
      <c r="Q99" s="279">
        <f ca="1">IF(O99="","",SUMIF($O$6:$Y$36,O99,$R$6:$R$36))</f>
        <v>20</v>
      </c>
      <c r="R99" s="279">
        <f ca="1">IF(O99="","",SUMIF($O$6:$Y$36,O99,$X$6:$X$36))</f>
        <v>2</v>
      </c>
      <c r="S99" s="317"/>
      <c r="AF99" s="198"/>
      <c r="AG99" s="199"/>
      <c r="AH99" s="199"/>
      <c r="AI99" s="197"/>
      <c r="AJ99" s="198"/>
      <c r="AK99" s="199"/>
      <c r="AL99" s="199"/>
      <c r="AM99" s="197"/>
      <c r="AN99" s="198"/>
      <c r="AO99" s="199"/>
      <c r="AP99" s="199"/>
      <c r="AQ99" s="197"/>
      <c r="AR99" s="198"/>
      <c r="AS99" s="199"/>
      <c r="AT99" s="199"/>
      <c r="AU99" s="197"/>
      <c r="AV99" s="198"/>
      <c r="AW99" s="199"/>
      <c r="AX99" s="199"/>
      <c r="AY99" s="197"/>
      <c r="AZ99" s="198"/>
      <c r="BA99" s="199"/>
      <c r="BB99" s="199"/>
      <c r="BC99" s="197"/>
      <c r="BD99" s="198"/>
      <c r="BE99" s="199"/>
      <c r="BF99" s="199"/>
      <c r="BG99" s="197"/>
      <c r="BH99" s="198"/>
      <c r="BI99" s="199"/>
      <c r="BJ99" s="199"/>
      <c r="BK99" s="197"/>
      <c r="BL99" s="198"/>
      <c r="BM99" s="199"/>
      <c r="BN99" s="199"/>
      <c r="BO99" s="197"/>
      <c r="BP99" s="198"/>
      <c r="BQ99" s="199"/>
      <c r="BR99" s="199"/>
      <c r="BS99" s="197"/>
      <c r="BT99" s="198"/>
      <c r="BU99" s="199"/>
      <c r="BV99" s="199"/>
      <c r="BW99" s="197"/>
      <c r="BX99" s="198"/>
      <c r="BY99" s="199"/>
      <c r="BZ99" s="199"/>
      <c r="CA99" s="197"/>
      <c r="CB99" s="198"/>
      <c r="CC99" s="199"/>
      <c r="CD99" s="199"/>
      <c r="CE99" s="197"/>
      <c r="CF99" s="198"/>
      <c r="CG99" s="199"/>
      <c r="CH99" s="199"/>
      <c r="CI99" s="197"/>
      <c r="CJ99" s="198"/>
      <c r="CK99" s="199"/>
      <c r="CL99" s="199"/>
      <c r="CM99" s="197"/>
      <c r="CN99" s="198">
        <f>CP87+CP72+CP55+CP18</f>
        <v>0</v>
      </c>
      <c r="CO99" s="199"/>
      <c r="CP99" s="272">
        <f>IF(ISERROR(CN99),0,CN99)</f>
        <v>0</v>
      </c>
      <c r="CQ99" s="197"/>
    </row>
    <row r="100" spans="1:95" ht="15.6" x14ac:dyDescent="0.3">
      <c r="A100" s="261">
        <f ca="1">IF(C100="","",RANK(H100,$H$91:$H$106))</f>
        <v>5</v>
      </c>
      <c r="B100" s="261"/>
      <c r="C100" s="275" t="str">
        <f>IF(O100="","",O100)</f>
        <v>BLANCHARD THIERRY</v>
      </c>
      <c r="D100" s="276">
        <f ca="1">IF(O100="","",P100)</f>
        <v>214</v>
      </c>
      <c r="E100" s="276">
        <f ca="1">IF(O100="","",Q100)</f>
        <v>82</v>
      </c>
      <c r="F100" s="276">
        <f ca="1">IF(O100="","",R100)</f>
        <v>2</v>
      </c>
      <c r="G100" s="277">
        <f ca="1">IF(O100="","",S100)</f>
        <v>2.6097560975609757</v>
      </c>
      <c r="H100" s="318">
        <f ca="1">IF(O100="","",F100+G100/1000)</f>
        <v>2.0026097560975611</v>
      </c>
      <c r="O100" s="317" t="str">
        <f>IF(Tirage!$B$9="","",Tirage!$B$9)</f>
        <v>BLANCHARD THIERRY</v>
      </c>
      <c r="P100" s="317">
        <f ca="1">IF(O100="","",SUM(P98:P99))</f>
        <v>214</v>
      </c>
      <c r="Q100" s="317">
        <f ca="1">IF(O100="","",SUM(Q98:Q99))</f>
        <v>82</v>
      </c>
      <c r="R100" s="317">
        <f ca="1">IF(O100="","",SUM(R98:R99))</f>
        <v>2</v>
      </c>
      <c r="S100" s="319">
        <f ca="1">IF(O100="","",P100/Q100)</f>
        <v>2.6097560975609757</v>
      </c>
      <c r="AA100" s="197" t="s">
        <v>138</v>
      </c>
      <c r="AB100" s="250">
        <f>AD9+AD55+AD72+AD87</f>
        <v>264</v>
      </c>
      <c r="AC100" s="199"/>
      <c r="AD100" s="272">
        <f t="shared" ref="AD100:AD106" si="107">IF(ISERROR(AB100),0,AB100)</f>
        <v>264</v>
      </c>
      <c r="AE100" s="197"/>
      <c r="AF100" s="250">
        <f>AH9+AH55+AH72+AH87</f>
        <v>246</v>
      </c>
      <c r="AG100" s="199"/>
      <c r="AH100" s="272">
        <f t="shared" ref="AH100:AH106" si="108">IF(ISERROR(AF100),0,AF100)</f>
        <v>246</v>
      </c>
      <c r="AI100" s="197"/>
      <c r="AJ100" s="250">
        <f>AL9+AL55+AL72+AL87</f>
        <v>320</v>
      </c>
      <c r="AK100" s="199"/>
      <c r="AL100" s="272">
        <f t="shared" ref="AL100:AL106" si="109">IF(ISERROR(AJ100),0,AJ100)</f>
        <v>320</v>
      </c>
      <c r="AM100" s="197"/>
      <c r="AN100" s="250">
        <f>AP9+AP55+AP72+AP87</f>
        <v>214</v>
      </c>
      <c r="AO100" s="199"/>
      <c r="AP100" s="272">
        <f t="shared" ref="AP100:AP106" si="110">IF(ISERROR(AN100),0,AN100)</f>
        <v>214</v>
      </c>
      <c r="AQ100" s="197"/>
      <c r="AR100" s="250">
        <f>AT9+AT55+AT72+AT87</f>
        <v>256</v>
      </c>
      <c r="AS100" s="199"/>
      <c r="AT100" s="272">
        <f t="shared" ref="AT100:AT106" si="111">IF(ISERROR(AR100),0,AR100)</f>
        <v>256</v>
      </c>
      <c r="AU100" s="197"/>
      <c r="AV100" s="250">
        <f>AX9+AX55+AX72+AX87</f>
        <v>0</v>
      </c>
      <c r="AW100" s="199"/>
      <c r="AX100" s="272">
        <f t="shared" ref="AX100:AX106" si="112">IF(ISERROR(AV100),0,AV100)</f>
        <v>0</v>
      </c>
      <c r="AY100" s="197"/>
      <c r="AZ100" s="250">
        <f>BB9+BB55+BB72+BB87</f>
        <v>0</v>
      </c>
      <c r="BA100" s="199"/>
      <c r="BB100" s="272">
        <f t="shared" ref="BB100:BB106" si="113">IF(ISERROR(AZ100),0,AZ100)</f>
        <v>0</v>
      </c>
      <c r="BC100" s="197"/>
      <c r="BD100" s="250">
        <f>BF9+BF55+BF72+BF87</f>
        <v>0</v>
      </c>
      <c r="BE100" s="199"/>
      <c r="BF100" s="272">
        <f t="shared" ref="BF100:BF106" si="114">IF(ISERROR(BD100),0,BD100)</f>
        <v>0</v>
      </c>
      <c r="BG100" s="197"/>
      <c r="BH100" s="250">
        <f>BJ87+BJ72+BJ55+BJ12</f>
        <v>0</v>
      </c>
      <c r="BI100" s="199"/>
      <c r="BJ100" s="272">
        <f t="shared" ref="BJ100:BJ106" si="115">IF(ISERROR(BH100),0,BH100)</f>
        <v>0</v>
      </c>
      <c r="BK100" s="197"/>
      <c r="BL100" s="250">
        <f>BN87+BN72+BN55+BN12</f>
        <v>0</v>
      </c>
      <c r="BM100" s="199"/>
      <c r="BN100" s="272">
        <f t="shared" ref="BN100:BN106" si="116">IF(ISERROR(BL100),0,BL100)</f>
        <v>0</v>
      </c>
      <c r="BO100" s="197"/>
      <c r="BP100" s="250">
        <f>BR87+BR72+BR55+BR12</f>
        <v>0</v>
      </c>
      <c r="BQ100" s="199"/>
      <c r="BR100" s="272">
        <f t="shared" ref="BR100:BR106" si="117">IF(ISERROR(BP100),0,BP100)</f>
        <v>0</v>
      </c>
      <c r="BS100" s="197"/>
      <c r="BT100" s="250">
        <f>BV87+BV72+BV55+BV12</f>
        <v>0</v>
      </c>
      <c r="BU100" s="199"/>
      <c r="BV100" s="272">
        <f t="shared" ref="BV100:BV106" si="118">IF(ISERROR(BT100),0,BT100)</f>
        <v>0</v>
      </c>
      <c r="BW100" s="197"/>
      <c r="BX100" s="250">
        <f>BZ87+BZ72+BZ55+BZ12</f>
        <v>0</v>
      </c>
      <c r="BY100" s="199"/>
      <c r="BZ100" s="272">
        <f t="shared" ref="BZ100:BZ106" si="119">IF(ISERROR(BX100),0,BX100)</f>
        <v>0</v>
      </c>
      <c r="CA100" s="197"/>
      <c r="CB100" s="250">
        <f>CD87+CD72+CD55+CD12</f>
        <v>0</v>
      </c>
      <c r="CC100" s="199"/>
      <c r="CD100" s="272">
        <f t="shared" ref="CD100:CD106" si="120">IF(ISERROR(CB100),0,CB100)</f>
        <v>0</v>
      </c>
      <c r="CE100" s="197"/>
      <c r="CF100" s="250">
        <f>CH87+CH72+CH55+CH12</f>
        <v>0</v>
      </c>
      <c r="CG100" s="199"/>
      <c r="CH100" s="272">
        <f t="shared" ref="CH100:CH106" si="121">IF(ISERROR(CF100),0,CF100)</f>
        <v>0</v>
      </c>
      <c r="CI100" s="197"/>
      <c r="CJ100" s="250">
        <f>CL87+CL72+CL55+CL12</f>
        <v>0</v>
      </c>
      <c r="CK100" s="199"/>
      <c r="CL100" s="272">
        <f t="shared" ref="CL100:CL106" si="122">IF(ISERROR(CJ100),0,CJ100)</f>
        <v>0</v>
      </c>
      <c r="CM100" s="197"/>
      <c r="CN100" s="198">
        <f>MAX(CP95,CP79,CP63,CP62)</f>
        <v>0</v>
      </c>
      <c r="CO100" s="199"/>
      <c r="CP100" s="273">
        <f>IF(ISERROR(CN100),0,CN100)</f>
        <v>0</v>
      </c>
      <c r="CQ100" s="197"/>
    </row>
    <row r="101" spans="1:95" ht="15.6" x14ac:dyDescent="0.3">
      <c r="O101" s="279" t="str">
        <f>IF(Tirage!$B$10="","",Tirage!$B$10)</f>
        <v>LACHOQUE DANIEL</v>
      </c>
      <c r="P101" s="279">
        <f ca="1">IF(O101="","",SUMIF($C$6:$K$36,O101,$E$6:$E$36))</f>
        <v>201</v>
      </c>
      <c r="Q101" s="279">
        <f ca="1">IF(O101="","",SUMIF($C$6:$K$36,O101,$F$6:$F$36))</f>
        <v>53</v>
      </c>
      <c r="R101" s="279">
        <f ca="1">IF(O101="","",SUMIF($C$6:$K$36,O101,$K$6:$K$36))</f>
        <v>3</v>
      </c>
      <c r="S101" s="317"/>
      <c r="AA101" s="197" t="s">
        <v>139</v>
      </c>
      <c r="AB101" s="198">
        <f>AD21+AD57+AD74+AD89</f>
        <v>53</v>
      </c>
      <c r="AC101" s="199"/>
      <c r="AD101" s="272">
        <f>IF(ISERROR(AB101),0,AB101)</f>
        <v>53</v>
      </c>
      <c r="AE101" s="197"/>
      <c r="AF101" s="198">
        <f>AH21+AH57+AH74+AH89</f>
        <v>78</v>
      </c>
      <c r="AG101" s="199"/>
      <c r="AH101" s="272">
        <f t="shared" si="108"/>
        <v>78</v>
      </c>
      <c r="AI101" s="197"/>
      <c r="AJ101" s="198">
        <f>AL21+AL57+AL74+AL89</f>
        <v>86</v>
      </c>
      <c r="AK101" s="199"/>
      <c r="AL101" s="272">
        <f t="shared" si="109"/>
        <v>86</v>
      </c>
      <c r="AM101" s="197"/>
      <c r="AN101" s="198">
        <f>AP21+AP57+AP74+AP89</f>
        <v>82</v>
      </c>
      <c r="AO101" s="199"/>
      <c r="AP101" s="272">
        <f t="shared" si="110"/>
        <v>82</v>
      </c>
      <c r="AQ101" s="197"/>
      <c r="AR101" s="198">
        <f>AT21+AT57+AT74+AT89</f>
        <v>73</v>
      </c>
      <c r="AS101" s="199"/>
      <c r="AT101" s="272">
        <f t="shared" si="111"/>
        <v>73</v>
      </c>
      <c r="AU101" s="197"/>
      <c r="AV101" s="198">
        <f>AX21+AX57+AX74+AX89</f>
        <v>0</v>
      </c>
      <c r="AW101" s="199"/>
      <c r="AX101" s="272">
        <f t="shared" si="112"/>
        <v>0</v>
      </c>
      <c r="AY101" s="197"/>
      <c r="AZ101" s="198">
        <f>BB21+BB57+BB74+BB89</f>
        <v>0</v>
      </c>
      <c r="BA101" s="199"/>
      <c r="BB101" s="272">
        <f t="shared" si="113"/>
        <v>0</v>
      </c>
      <c r="BC101" s="197"/>
      <c r="BD101" s="198">
        <f>BF21+BF57+BF74+BF89</f>
        <v>0</v>
      </c>
      <c r="BE101" s="199"/>
      <c r="BF101" s="272">
        <f t="shared" si="114"/>
        <v>0</v>
      </c>
      <c r="BG101" s="197"/>
      <c r="BH101" s="198">
        <f>BJ89+BJ74+BJ57+BJ21</f>
        <v>0</v>
      </c>
      <c r="BI101" s="199"/>
      <c r="BJ101" s="272">
        <f t="shared" si="115"/>
        <v>0</v>
      </c>
      <c r="BK101" s="197"/>
      <c r="BL101" s="198">
        <f>BN89+BN74+BN57+BN21</f>
        <v>0</v>
      </c>
      <c r="BM101" s="199"/>
      <c r="BN101" s="272">
        <f t="shared" si="116"/>
        <v>0</v>
      </c>
      <c r="BO101" s="197"/>
      <c r="BP101" s="198">
        <f>BR89+BR74+BR57+BR21</f>
        <v>0</v>
      </c>
      <c r="BQ101" s="199"/>
      <c r="BR101" s="272">
        <f t="shared" si="117"/>
        <v>0</v>
      </c>
      <c r="BS101" s="197"/>
      <c r="BT101" s="198">
        <f>BV89+BV74+BV57+BV21</f>
        <v>0</v>
      </c>
      <c r="BU101" s="199"/>
      <c r="BV101" s="272">
        <f t="shared" si="118"/>
        <v>0</v>
      </c>
      <c r="BW101" s="197"/>
      <c r="BX101" s="198">
        <f>BZ89+BZ74+BZ57+BZ21</f>
        <v>0</v>
      </c>
      <c r="BY101" s="199"/>
      <c r="BZ101" s="272">
        <f t="shared" si="119"/>
        <v>0</v>
      </c>
      <c r="CA101" s="197"/>
      <c r="CB101" s="198">
        <f>CD89+CD74+CD57+CD21</f>
        <v>0</v>
      </c>
      <c r="CC101" s="199"/>
      <c r="CD101" s="272">
        <f t="shared" si="120"/>
        <v>0</v>
      </c>
      <c r="CE101" s="197"/>
      <c r="CF101" s="198">
        <f>CH89+CH74+CH57+CH21</f>
        <v>0</v>
      </c>
      <c r="CG101" s="199"/>
      <c r="CH101" s="272">
        <f t="shared" si="121"/>
        <v>0</v>
      </c>
      <c r="CI101" s="197"/>
      <c r="CJ101" s="198">
        <f>CL89+CL74+CL57+CL21</f>
        <v>0</v>
      </c>
      <c r="CK101" s="199"/>
      <c r="CL101" s="272">
        <f t="shared" si="122"/>
        <v>0</v>
      </c>
      <c r="CM101" s="197"/>
      <c r="CN101" s="198">
        <f>MAX(CP90,CP75,CP59,CP41)</f>
        <v>0</v>
      </c>
      <c r="CO101" s="199"/>
      <c r="CP101" s="273">
        <f>IF(ISERROR(CN101),0,CN101)</f>
        <v>0</v>
      </c>
      <c r="CQ101" s="197"/>
    </row>
    <row r="102" spans="1:95" ht="15.6" x14ac:dyDescent="0.3">
      <c r="O102" s="279" t="str">
        <f>IF(Tirage!$B$10="","",Tirage!$B$10)</f>
        <v>LACHOQUE DANIEL</v>
      </c>
      <c r="P102" s="279">
        <f ca="1">IF(O102="","",SUMIF($O$6:$Y$36,O102,$Q$6:$Q$36))</f>
        <v>55</v>
      </c>
      <c r="Q102" s="279">
        <f ca="1">IF(O102="","",SUMIF($O$6:$Y$36,O102,$R$6:$R$36))</f>
        <v>20</v>
      </c>
      <c r="R102" s="279">
        <f ca="1">IF(O102="","",SUMIF($O$6:$Y$36,O102,$X$6:$X$36))</f>
        <v>0</v>
      </c>
      <c r="S102" s="317"/>
      <c r="AA102" s="197" t="s">
        <v>140</v>
      </c>
      <c r="AB102" s="198">
        <f>AD29+AD58+AD75+AD90</f>
        <v>2</v>
      </c>
      <c r="AC102" s="199"/>
      <c r="AD102" s="273">
        <f t="shared" si="107"/>
        <v>2</v>
      </c>
      <c r="AE102" s="197"/>
      <c r="AF102" s="198">
        <f>AH29+AH58+AH75+AH90</f>
        <v>4</v>
      </c>
      <c r="AG102" s="199"/>
      <c r="AH102" s="273">
        <f t="shared" si="108"/>
        <v>4</v>
      </c>
      <c r="AI102" s="197"/>
      <c r="AJ102" s="198">
        <f>AL29+AL58+AL75+AL90</f>
        <v>7</v>
      </c>
      <c r="AK102" s="199"/>
      <c r="AL102" s="273">
        <f t="shared" si="109"/>
        <v>7</v>
      </c>
      <c r="AM102" s="197"/>
      <c r="AN102" s="198">
        <f>AP29+AP58+AP75+AP90</f>
        <v>0</v>
      </c>
      <c r="AO102" s="199"/>
      <c r="AP102" s="273">
        <f t="shared" si="110"/>
        <v>0</v>
      </c>
      <c r="AQ102" s="197"/>
      <c r="AR102" s="198">
        <f>AT29+AT58+AT75+AT90</f>
        <v>3</v>
      </c>
      <c r="AS102" s="199"/>
      <c r="AT102" s="273">
        <f t="shared" si="111"/>
        <v>3</v>
      </c>
      <c r="AU102" s="197"/>
      <c r="AV102" s="198">
        <f>AX29+AX58+AX75+AX90</f>
        <v>0</v>
      </c>
      <c r="AW102" s="199"/>
      <c r="AX102" s="273">
        <f t="shared" si="112"/>
        <v>0</v>
      </c>
      <c r="AY102" s="197"/>
      <c r="AZ102" s="198">
        <f>BB29+BB58+BB75+BB90</f>
        <v>0</v>
      </c>
      <c r="BA102" s="199"/>
      <c r="BB102" s="273">
        <f t="shared" si="113"/>
        <v>0</v>
      </c>
      <c r="BC102" s="197"/>
      <c r="BD102" s="198">
        <f>BF29+BF58+BF75+BF90</f>
        <v>0</v>
      </c>
      <c r="BE102" s="199"/>
      <c r="BF102" s="273">
        <f t="shared" si="114"/>
        <v>0</v>
      </c>
      <c r="BG102" s="197"/>
      <c r="BH102" s="198">
        <f>BJ29+BJ58+BJ75+BJ90</f>
        <v>0</v>
      </c>
      <c r="BI102" s="199"/>
      <c r="BJ102" s="273">
        <f t="shared" si="115"/>
        <v>0</v>
      </c>
      <c r="BK102" s="197"/>
      <c r="BL102" s="198">
        <f>BN29+BN58+BN75+BN90</f>
        <v>0</v>
      </c>
      <c r="BM102" s="199"/>
      <c r="BN102" s="273">
        <f t="shared" si="116"/>
        <v>0</v>
      </c>
      <c r="BO102" s="197"/>
      <c r="BP102" s="198">
        <f>BR29+BR58+BR75+BR90</f>
        <v>0</v>
      </c>
      <c r="BQ102" s="199"/>
      <c r="BR102" s="273">
        <f t="shared" si="117"/>
        <v>0</v>
      </c>
      <c r="BS102" s="197"/>
      <c r="BT102" s="198">
        <f>BV29+BV58+BV75+BV90</f>
        <v>0</v>
      </c>
      <c r="BU102" s="199"/>
      <c r="BV102" s="273">
        <f t="shared" si="118"/>
        <v>0</v>
      </c>
      <c r="BW102" s="197"/>
      <c r="BX102" s="198">
        <f>BZ29+BZ58+BZ75+BZ90</f>
        <v>0</v>
      </c>
      <c r="BY102" s="199"/>
      <c r="BZ102" s="273">
        <f t="shared" si="119"/>
        <v>0</v>
      </c>
      <c r="CA102" s="197"/>
      <c r="CB102" s="198">
        <f>CD29+CD58+CD75+CD90</f>
        <v>0</v>
      </c>
      <c r="CC102" s="199"/>
      <c r="CD102" s="273">
        <f t="shared" si="120"/>
        <v>0</v>
      </c>
      <c r="CE102" s="197"/>
      <c r="CF102" s="198">
        <f>CH29+CH58+CH75+CH90</f>
        <v>0</v>
      </c>
      <c r="CG102" s="199"/>
      <c r="CH102" s="273">
        <f t="shared" si="121"/>
        <v>0</v>
      </c>
      <c r="CI102" s="197"/>
      <c r="CJ102" s="198">
        <f>CL29+CL58+CL75+CL90</f>
        <v>0</v>
      </c>
      <c r="CK102" s="199"/>
      <c r="CL102" s="273">
        <f t="shared" si="122"/>
        <v>0</v>
      </c>
      <c r="CM102" s="197"/>
      <c r="CN102" s="250">
        <f>MAX(CP35,CN60,CN76,CN92)</f>
        <v>0</v>
      </c>
      <c r="CO102" s="199"/>
      <c r="CP102" s="273">
        <f>IF(ISERROR(CN102),0,CN102)</f>
        <v>0</v>
      </c>
      <c r="CQ102" s="197"/>
    </row>
    <row r="103" spans="1:95" ht="15.6" x14ac:dyDescent="0.3">
      <c r="A103" s="261">
        <f ca="1">IF(C103="","",RANK(H103,$H$91:$H$106))</f>
        <v>4</v>
      </c>
      <c r="B103" s="261"/>
      <c r="C103" s="275" t="str">
        <f>IF(O103="","",O103)</f>
        <v>LACHOQUE DANIEL</v>
      </c>
      <c r="D103" s="276">
        <f ca="1">IF(O103="","",P103)</f>
        <v>256</v>
      </c>
      <c r="E103" s="276">
        <f ca="1">IF(O103="","",Q103)</f>
        <v>73</v>
      </c>
      <c r="F103" s="276">
        <f ca="1">IF(O103="","",R103)</f>
        <v>3</v>
      </c>
      <c r="G103" s="277">
        <f ca="1">IF(O103="","",S103)</f>
        <v>3.506849315068493</v>
      </c>
      <c r="H103" s="318">
        <f ca="1">IF(O103="","",F103+G103/1000)</f>
        <v>3.0035068493150683</v>
      </c>
      <c r="O103" s="317" t="str">
        <f>IF(Tirage!$B$10="","",Tirage!$B$10)</f>
        <v>LACHOQUE DANIEL</v>
      </c>
      <c r="P103" s="317">
        <f ca="1">IF(O103="","",SUM(P101:P102))</f>
        <v>256</v>
      </c>
      <c r="Q103" s="317">
        <f ca="1">IF(O103="","",SUM(Q101:Q102))</f>
        <v>73</v>
      </c>
      <c r="R103" s="317">
        <f ca="1">IF(O103="","",SUM(R101:R102))</f>
        <v>3</v>
      </c>
      <c r="S103" s="319">
        <f ca="1">IF(O103="","",P103/Q103)</f>
        <v>3.506849315068493</v>
      </c>
      <c r="AA103" s="199" t="s">
        <v>141</v>
      </c>
      <c r="AB103" s="198">
        <f>MAX(AD45,AD61,AD77,AD93)</f>
        <v>27</v>
      </c>
      <c r="AC103" s="199"/>
      <c r="AD103" s="273">
        <f t="shared" si="107"/>
        <v>27</v>
      </c>
      <c r="AE103" s="197"/>
      <c r="AF103" s="198">
        <f>MAX(AH45,AH61,AH77,AH93)</f>
        <v>22</v>
      </c>
      <c r="AG103" s="199"/>
      <c r="AH103" s="273">
        <f t="shared" si="108"/>
        <v>22</v>
      </c>
      <c r="AI103" s="197"/>
      <c r="AJ103" s="198">
        <f>MAX(AL45,AL61,AL77,AL93)</f>
        <v>17</v>
      </c>
      <c r="AK103" s="199"/>
      <c r="AL103" s="273">
        <f t="shared" si="109"/>
        <v>17</v>
      </c>
      <c r="AM103" s="197"/>
      <c r="AN103" s="198">
        <f>MAX(AP45,AP61,AP77,AP93)</f>
        <v>20</v>
      </c>
      <c r="AO103" s="199"/>
      <c r="AP103" s="273">
        <f t="shared" si="110"/>
        <v>20</v>
      </c>
      <c r="AQ103" s="197"/>
      <c r="AR103" s="198">
        <f>MAX(AT45,AT61,AT77,AT93)</f>
        <v>19</v>
      </c>
      <c r="AS103" s="199"/>
      <c r="AT103" s="273">
        <f t="shared" si="111"/>
        <v>19</v>
      </c>
      <c r="AU103" s="197"/>
      <c r="AV103" s="198">
        <f>MAX(AX45,AX61,AX77,AX93)</f>
        <v>0</v>
      </c>
      <c r="AW103" s="199"/>
      <c r="AX103" s="273">
        <f t="shared" si="112"/>
        <v>0</v>
      </c>
      <c r="AY103" s="197"/>
      <c r="AZ103" s="198">
        <f>MAX(BB45,BB61,BB77,BB93)</f>
        <v>0</v>
      </c>
      <c r="BA103" s="199"/>
      <c r="BB103" s="273">
        <f t="shared" si="113"/>
        <v>0</v>
      </c>
      <c r="BC103" s="197"/>
      <c r="BD103" s="198">
        <f>MAX(BF45,BF61,BF77,BF93)</f>
        <v>0</v>
      </c>
      <c r="BE103" s="199"/>
      <c r="BF103" s="273">
        <f t="shared" si="114"/>
        <v>0</v>
      </c>
      <c r="BG103" s="197"/>
      <c r="BH103" s="198">
        <f>MAX(BJ92,BJ77,BJ61,BJ43)</f>
        <v>0</v>
      </c>
      <c r="BI103" s="199"/>
      <c r="BJ103" s="273">
        <f t="shared" si="115"/>
        <v>0</v>
      </c>
      <c r="BK103" s="197"/>
      <c r="BL103" s="198">
        <f>MAX(BN92,BN77,BN61,BN43)</f>
        <v>0</v>
      </c>
      <c r="BM103" s="199"/>
      <c r="BN103" s="273">
        <f t="shared" si="116"/>
        <v>0</v>
      </c>
      <c r="BO103" s="197"/>
      <c r="BP103" s="198">
        <f>MAX(BR92,BR77,BR61,BR43)</f>
        <v>0</v>
      </c>
      <c r="BQ103" s="199"/>
      <c r="BR103" s="273">
        <f t="shared" si="117"/>
        <v>0</v>
      </c>
      <c r="BS103" s="197"/>
      <c r="BT103" s="198">
        <f>MAX(BV92,BV77,BV61,BV43)</f>
        <v>0</v>
      </c>
      <c r="BU103" s="199"/>
      <c r="BV103" s="273">
        <f t="shared" si="118"/>
        <v>0</v>
      </c>
      <c r="BW103" s="197"/>
      <c r="BX103" s="198">
        <f>MAX(BZ92,BZ77,BZ61,BZ43)</f>
        <v>0</v>
      </c>
      <c r="BY103" s="199"/>
      <c r="BZ103" s="273">
        <f t="shared" si="119"/>
        <v>0</v>
      </c>
      <c r="CA103" s="197"/>
      <c r="CB103" s="198">
        <f>MAX(CD92,CD77,CD61,CD43)</f>
        <v>0</v>
      </c>
      <c r="CC103" s="199"/>
      <c r="CD103" s="273">
        <f t="shared" si="120"/>
        <v>0</v>
      </c>
      <c r="CE103" s="197"/>
      <c r="CF103" s="198">
        <f>MAX(CH92,CH77,CH61,CH43)</f>
        <v>0</v>
      </c>
      <c r="CG103" s="199"/>
      <c r="CH103" s="273">
        <f t="shared" si="121"/>
        <v>0</v>
      </c>
      <c r="CI103" s="197"/>
      <c r="CJ103" s="198">
        <f>MAX(CL92,CL77,CL61,CL43)</f>
        <v>0</v>
      </c>
      <c r="CK103" s="199"/>
      <c r="CL103" s="273">
        <f t="shared" si="122"/>
        <v>0</v>
      </c>
      <c r="CM103" s="197"/>
    </row>
    <row r="104" spans="1:95" ht="15.6" x14ac:dyDescent="0.3">
      <c r="O104" s="279" t="str">
        <f>IF(Tirage!$B$11="","",Tirage!$B$11)</f>
        <v/>
      </c>
      <c r="P104" s="279" t="str">
        <f>IF(O104="","",SUMIF($C$6:$K$36,O104,$E$6:$E$36))</f>
        <v/>
      </c>
      <c r="Q104" s="279" t="str">
        <f>IF(O104="","",SUMIF($C$6:$K$36,O104,$F$6:$F$36))</f>
        <v/>
      </c>
      <c r="R104" s="279" t="str">
        <f>IF(O104="","",SUMIF($C$6:$K$36,O104,$K$6:$K$36))</f>
        <v/>
      </c>
      <c r="S104" s="317"/>
      <c r="AA104" s="197" t="s">
        <v>142</v>
      </c>
      <c r="AB104" s="250">
        <f>MAX(AD37,AB62,AB78,AB94)</f>
        <v>5.7142857142857144</v>
      </c>
      <c r="AC104" s="199"/>
      <c r="AD104" s="273">
        <f t="shared" si="107"/>
        <v>5.7142857142857144</v>
      </c>
      <c r="AE104" s="197"/>
      <c r="AF104" s="250">
        <f>MAX(AH37,AF62,AF78,AF94)</f>
        <v>3.3333333333333335</v>
      </c>
      <c r="AG104" s="199"/>
      <c r="AH104" s="273">
        <f t="shared" si="108"/>
        <v>3.3333333333333335</v>
      </c>
      <c r="AI104" s="197"/>
      <c r="AJ104" s="250">
        <f>MAX(AL37,AJ62,AJ78,AJ94)</f>
        <v>4</v>
      </c>
      <c r="AK104" s="199"/>
      <c r="AL104" s="273">
        <f t="shared" si="109"/>
        <v>4</v>
      </c>
      <c r="AM104" s="197"/>
      <c r="AN104" s="250">
        <f>MAX(AP37,AN62,AN78,AN94)</f>
        <v>0</v>
      </c>
      <c r="AO104" s="199"/>
      <c r="AP104" s="273">
        <f t="shared" si="110"/>
        <v>0</v>
      </c>
      <c r="AQ104" s="197"/>
      <c r="AR104" s="250">
        <f>MAX(AT37,AR62,AR78,AR94)</f>
        <v>8.8888888888888893</v>
      </c>
      <c r="AS104" s="199"/>
      <c r="AT104" s="273">
        <f t="shared" si="111"/>
        <v>8.8888888888888893</v>
      </c>
      <c r="AU104" s="197"/>
      <c r="AV104" s="250">
        <f>MAX(AX37,AV62,AV78,AV94)</f>
        <v>0</v>
      </c>
      <c r="AW104" s="199"/>
      <c r="AX104" s="273">
        <f t="shared" si="112"/>
        <v>0</v>
      </c>
      <c r="AY104" s="197"/>
      <c r="AZ104" s="250">
        <f>MAX(BB37,AZ62,AZ78,AZ94)</f>
        <v>0</v>
      </c>
      <c r="BA104" s="199"/>
      <c r="BB104" s="273">
        <f t="shared" si="113"/>
        <v>0</v>
      </c>
      <c r="BC104" s="197"/>
      <c r="BD104" s="250">
        <f>MAX(BF37,BD62,BD78,BD94)</f>
        <v>0</v>
      </c>
      <c r="BE104" s="199"/>
      <c r="BF104" s="273">
        <f t="shared" si="114"/>
        <v>0</v>
      </c>
      <c r="BG104" s="197"/>
      <c r="BH104" s="250">
        <f>MAX(BJ37,BH62,BH78,BH94)</f>
        <v>0</v>
      </c>
      <c r="BI104" s="199"/>
      <c r="BJ104" s="273">
        <f t="shared" si="115"/>
        <v>0</v>
      </c>
      <c r="BK104" s="197"/>
      <c r="BL104" s="250">
        <f>MAX(BN37,BL62,BL78,BL94)</f>
        <v>0</v>
      </c>
      <c r="BM104" s="199"/>
      <c r="BN104" s="273">
        <f t="shared" si="116"/>
        <v>0</v>
      </c>
      <c r="BO104" s="197"/>
      <c r="BP104" s="250">
        <f>MAX(BR37,BP62,BP78,BP94)</f>
        <v>0</v>
      </c>
      <c r="BQ104" s="199"/>
      <c r="BR104" s="273">
        <f t="shared" si="117"/>
        <v>0</v>
      </c>
      <c r="BS104" s="197"/>
      <c r="BT104" s="250">
        <f>MAX(BV37,BT62,BT78,BT94)</f>
        <v>0</v>
      </c>
      <c r="BU104" s="199"/>
      <c r="BV104" s="273">
        <f t="shared" si="118"/>
        <v>0</v>
      </c>
      <c r="BW104" s="197"/>
      <c r="BX104" s="250">
        <f>MAX(BZ37,BX62,BX78,BX94)</f>
        <v>0</v>
      </c>
      <c r="BY104" s="199"/>
      <c r="BZ104" s="273">
        <f t="shared" si="119"/>
        <v>0</v>
      </c>
      <c r="CA104" s="197"/>
      <c r="CB104" s="250">
        <f>MAX(CD37,CB62,CB78,CB94)</f>
        <v>0</v>
      </c>
      <c r="CC104" s="199"/>
      <c r="CD104" s="273">
        <f t="shared" si="120"/>
        <v>0</v>
      </c>
      <c r="CE104" s="197"/>
      <c r="CF104" s="250">
        <f>MAX(CH37,CF62,CF78,CF94)</f>
        <v>0</v>
      </c>
      <c r="CG104" s="199"/>
      <c r="CH104" s="273">
        <f t="shared" si="121"/>
        <v>0</v>
      </c>
      <c r="CI104" s="197"/>
      <c r="CJ104" s="250">
        <f>MAX(CL37,CJ62,CJ78,CJ94)</f>
        <v>0</v>
      </c>
      <c r="CK104" s="199"/>
      <c r="CL104" s="273">
        <f t="shared" si="122"/>
        <v>0</v>
      </c>
      <c r="CM104" s="197"/>
    </row>
    <row r="105" spans="1:95" ht="15.6" x14ac:dyDescent="0.3">
      <c r="O105" s="279" t="str">
        <f>IF(Tirage!$B$11="","",Tirage!$B$11)</f>
        <v/>
      </c>
      <c r="P105" s="279" t="str">
        <f>IF(O105="","",SUMIF($O$6:$Y$36,O105,$Q$6:$Q$36))</f>
        <v/>
      </c>
      <c r="Q105" s="279" t="str">
        <f>IF(O105="","",SUMIF($O$6:$Y$36,O105,$R$6:$R$36))</f>
        <v/>
      </c>
      <c r="R105" s="279" t="str">
        <f>IF(O105="","",SUMIF($O$6:$Y$36,O105,$X$6:$X$36))</f>
        <v/>
      </c>
      <c r="S105" s="317"/>
      <c r="AA105" s="199" t="s">
        <v>173</v>
      </c>
      <c r="AB105" s="199">
        <f>AD97+AD81+AD64</f>
        <v>0</v>
      </c>
      <c r="AC105" s="199"/>
      <c r="AD105" s="273">
        <f t="shared" si="107"/>
        <v>0</v>
      </c>
      <c r="AE105" s="197"/>
      <c r="AF105" s="199">
        <f>AH97+AH81+AH64</f>
        <v>0</v>
      </c>
      <c r="AG105" s="199"/>
      <c r="AH105" s="273">
        <f t="shared" si="108"/>
        <v>0</v>
      </c>
      <c r="AI105" s="199"/>
      <c r="AJ105" s="199">
        <f>AL97+AL81+AL64</f>
        <v>0</v>
      </c>
      <c r="AK105" s="199"/>
      <c r="AL105" s="273">
        <f t="shared" si="109"/>
        <v>0</v>
      </c>
      <c r="AM105" s="199"/>
      <c r="AN105" s="199">
        <f>AP97+AP81+AP64</f>
        <v>0</v>
      </c>
      <c r="AO105" s="199"/>
      <c r="AP105" s="273">
        <f t="shared" si="110"/>
        <v>0</v>
      </c>
      <c r="AQ105" s="199"/>
      <c r="AR105" s="199">
        <f>AT97+AT81+AT64</f>
        <v>0</v>
      </c>
      <c r="AS105" s="199"/>
      <c r="AT105" s="273">
        <f t="shared" si="111"/>
        <v>0</v>
      </c>
      <c r="AU105" s="199"/>
      <c r="AV105" s="199">
        <f>AX97+AX81+AX64</f>
        <v>0</v>
      </c>
      <c r="AW105" s="199"/>
      <c r="AX105" s="273">
        <f t="shared" si="112"/>
        <v>0</v>
      </c>
      <c r="AY105" s="199"/>
      <c r="AZ105" s="199">
        <f>BB97+BB81+BB64</f>
        <v>0</v>
      </c>
      <c r="BA105" s="199"/>
      <c r="BB105" s="273">
        <f t="shared" si="113"/>
        <v>0</v>
      </c>
      <c r="BC105" s="199"/>
      <c r="BD105" s="199">
        <f>BF97+BF81+BF64</f>
        <v>0</v>
      </c>
      <c r="BE105" s="199"/>
      <c r="BF105" s="273">
        <f t="shared" si="114"/>
        <v>0</v>
      </c>
      <c r="BG105" s="199"/>
      <c r="BH105" s="199">
        <f>BJ97+BJ81+BJ64</f>
        <v>0</v>
      </c>
      <c r="BI105" s="199"/>
      <c r="BJ105" s="273">
        <f t="shared" si="115"/>
        <v>0</v>
      </c>
      <c r="BL105" s="199">
        <f>BN97+BN81+BN64</f>
        <v>0</v>
      </c>
      <c r="BM105" s="199"/>
      <c r="BN105" s="273">
        <f t="shared" si="116"/>
        <v>0</v>
      </c>
      <c r="BP105" s="199">
        <f>BR97+BR81+BR64</f>
        <v>0</v>
      </c>
      <c r="BQ105" s="199"/>
      <c r="BR105" s="273">
        <f t="shared" si="117"/>
        <v>0</v>
      </c>
      <c r="BT105" s="199">
        <f>BV97+BV81+BV64</f>
        <v>0</v>
      </c>
      <c r="BU105" s="199"/>
      <c r="BV105" s="273">
        <f t="shared" si="118"/>
        <v>0</v>
      </c>
      <c r="BX105" s="199">
        <f>BZ97+BZ81+BZ64</f>
        <v>0</v>
      </c>
      <c r="BY105" s="199"/>
      <c r="BZ105" s="273">
        <f t="shared" si="119"/>
        <v>0</v>
      </c>
      <c r="CB105" s="199">
        <f>CD97+CD81+CD64</f>
        <v>0</v>
      </c>
      <c r="CC105" s="199"/>
      <c r="CD105" s="273">
        <f t="shared" si="120"/>
        <v>0</v>
      </c>
      <c r="CF105" s="199">
        <f>CH97+CH81+CH64</f>
        <v>0</v>
      </c>
      <c r="CG105" s="199"/>
      <c r="CH105" s="273">
        <f t="shared" si="121"/>
        <v>0</v>
      </c>
      <c r="CJ105" s="199">
        <f>CL97+CL81+CL64</f>
        <v>0</v>
      </c>
      <c r="CK105" s="199"/>
      <c r="CL105" s="273">
        <f t="shared" si="122"/>
        <v>0</v>
      </c>
    </row>
    <row r="106" spans="1:95" ht="15.6" x14ac:dyDescent="0.3">
      <c r="A106" s="261" t="str">
        <f>IF(C106="","",RANK(H106,$H$91:$H$106))</f>
        <v/>
      </c>
      <c r="B106" s="261"/>
      <c r="C106" s="275" t="str">
        <f>IF(O106="","",O106)</f>
        <v/>
      </c>
      <c r="D106" s="276" t="str">
        <f>IF(O106="","",P106)</f>
        <v/>
      </c>
      <c r="E106" s="276" t="str">
        <f>IF(O106="","",Q106)</f>
        <v/>
      </c>
      <c r="F106" s="276" t="str">
        <f>IF(O106="","",R106)</f>
        <v/>
      </c>
      <c r="G106" s="277" t="str">
        <f>IF(O106="","",S106)</f>
        <v/>
      </c>
      <c r="H106" s="318" t="str">
        <f>IF(O106="","",F106+G106/1000)</f>
        <v/>
      </c>
      <c r="O106" s="317" t="str">
        <f>IF(Tirage!$B$11="","",Tirage!$B$11)</f>
        <v/>
      </c>
      <c r="P106" s="317" t="str">
        <f>IF(O106="","",SUM(P104:P105))</f>
        <v/>
      </c>
      <c r="Q106" s="317" t="str">
        <f>IF(O106="","",SUM(Q104:Q105))</f>
        <v/>
      </c>
      <c r="R106" s="317" t="str">
        <f>IF(O106="","",SUM(R104:R105))</f>
        <v/>
      </c>
      <c r="S106" s="319" t="str">
        <f>IF(O106="","",P106/Q106)</f>
        <v/>
      </c>
      <c r="AA106" s="199" t="s">
        <v>174</v>
      </c>
      <c r="AB106" s="199">
        <f>AD81</f>
        <v>0</v>
      </c>
      <c r="AC106" s="199"/>
      <c r="AD106" s="273">
        <f t="shared" si="107"/>
        <v>0</v>
      </c>
      <c r="AE106" s="199"/>
      <c r="AF106" s="199">
        <f>AH81</f>
        <v>0</v>
      </c>
      <c r="AG106" s="199"/>
      <c r="AH106" s="273">
        <f t="shared" si="108"/>
        <v>0</v>
      </c>
      <c r="AI106" s="199"/>
      <c r="AJ106" s="199">
        <f>AL81</f>
        <v>0</v>
      </c>
      <c r="AK106" s="199"/>
      <c r="AL106" s="273">
        <f t="shared" si="109"/>
        <v>0</v>
      </c>
      <c r="AM106" s="199"/>
      <c r="AN106" s="199">
        <f>AP81</f>
        <v>0</v>
      </c>
      <c r="AO106" s="199"/>
      <c r="AP106" s="273">
        <f t="shared" si="110"/>
        <v>0</v>
      </c>
      <c r="AQ106" s="199"/>
      <c r="AR106" s="199">
        <f>AT81</f>
        <v>0</v>
      </c>
      <c r="AS106" s="199"/>
      <c r="AT106" s="273">
        <f t="shared" si="111"/>
        <v>0</v>
      </c>
      <c r="AU106" s="199"/>
      <c r="AV106" s="199">
        <f>AX81</f>
        <v>0</v>
      </c>
      <c r="AW106" s="199"/>
      <c r="AX106" s="273">
        <f t="shared" si="112"/>
        <v>0</v>
      </c>
      <c r="AY106" s="199"/>
      <c r="AZ106" s="199">
        <f>BB81</f>
        <v>0</v>
      </c>
      <c r="BA106" s="199"/>
      <c r="BB106" s="273">
        <f t="shared" si="113"/>
        <v>0</v>
      </c>
      <c r="BC106" s="199"/>
      <c r="BD106" s="199">
        <f>BF81</f>
        <v>0</v>
      </c>
      <c r="BE106" s="199"/>
      <c r="BF106" s="273">
        <f t="shared" si="114"/>
        <v>0</v>
      </c>
      <c r="BG106" s="199"/>
      <c r="BH106" s="199">
        <f>BJ81</f>
        <v>0</v>
      </c>
      <c r="BI106" s="199"/>
      <c r="BJ106" s="273">
        <f t="shared" si="115"/>
        <v>0</v>
      </c>
      <c r="BL106" s="199">
        <f>BN81</f>
        <v>0</v>
      </c>
      <c r="BM106" s="199"/>
      <c r="BN106" s="273">
        <f t="shared" si="116"/>
        <v>0</v>
      </c>
      <c r="BP106" s="199">
        <f>BR81</f>
        <v>0</v>
      </c>
      <c r="BQ106" s="199"/>
      <c r="BR106" s="273">
        <f t="shared" si="117"/>
        <v>0</v>
      </c>
      <c r="BT106" s="199">
        <f>BV81</f>
        <v>0</v>
      </c>
      <c r="BU106" s="199"/>
      <c r="BV106" s="273">
        <f t="shared" si="118"/>
        <v>0</v>
      </c>
      <c r="BX106" s="199">
        <f>BZ81</f>
        <v>0</v>
      </c>
      <c r="BY106" s="199"/>
      <c r="BZ106" s="273">
        <f t="shared" si="119"/>
        <v>0</v>
      </c>
      <c r="CB106" s="199">
        <f>CD81</f>
        <v>0</v>
      </c>
      <c r="CC106" s="199"/>
      <c r="CD106" s="273">
        <f t="shared" si="120"/>
        <v>0</v>
      </c>
      <c r="CF106" s="199">
        <f>CH81</f>
        <v>0</v>
      </c>
      <c r="CG106" s="199"/>
      <c r="CH106" s="273">
        <f t="shared" si="121"/>
        <v>0</v>
      </c>
      <c r="CJ106" s="199">
        <f>CL81</f>
        <v>0</v>
      </c>
      <c r="CK106" s="199"/>
      <c r="CL106" s="273">
        <f t="shared" si="122"/>
        <v>0</v>
      </c>
    </row>
    <row r="108" spans="1:95" x14ac:dyDescent="0.3">
      <c r="AA108" s="199"/>
      <c r="AB108" s="199"/>
      <c r="AD108" s="199"/>
      <c r="AE108" s="199"/>
      <c r="AT108" s="199"/>
      <c r="AX108" s="199"/>
    </row>
    <row r="109" spans="1:95" x14ac:dyDescent="0.3">
      <c r="P109" s="317"/>
      <c r="AA109" s="199"/>
      <c r="AB109" s="274"/>
      <c r="AD109" s="199"/>
      <c r="AE109" s="199"/>
      <c r="AF109" s="356" t="s">
        <v>479</v>
      </c>
      <c r="AG109" s="356"/>
      <c r="AT109" s="212"/>
      <c r="AX109" s="212"/>
      <c r="CO109" s="212"/>
    </row>
    <row r="110" spans="1:95" x14ac:dyDescent="0.3">
      <c r="P110" s="276" t="s">
        <v>421</v>
      </c>
      <c r="Q110" s="276" t="s">
        <v>67</v>
      </c>
      <c r="R110" s="276" t="s">
        <v>418</v>
      </c>
      <c r="S110" s="276" t="s">
        <v>153</v>
      </c>
      <c r="AA110" s="199"/>
      <c r="AB110" s="199"/>
      <c r="AD110" s="199"/>
      <c r="AE110" s="199"/>
      <c r="CO110" s="212"/>
    </row>
    <row r="111" spans="1:95" ht="15.6" x14ac:dyDescent="0.3">
      <c r="O111" s="275" t="str">
        <f>IF(O91="","",O91)</f>
        <v>HENWOOD PHILIPPE</v>
      </c>
      <c r="P111" s="276">
        <f t="shared" ref="P111:S111" ca="1" si="123">+P91</f>
        <v>264</v>
      </c>
      <c r="Q111" s="276">
        <f t="shared" ca="1" si="123"/>
        <v>53</v>
      </c>
      <c r="R111" s="276">
        <f t="shared" ca="1" si="123"/>
        <v>4</v>
      </c>
      <c r="S111" s="277">
        <f t="shared" ca="1" si="123"/>
        <v>4.9811320754716979</v>
      </c>
      <c r="AA111" s="199"/>
      <c r="AB111" s="212"/>
      <c r="AD111" s="199"/>
      <c r="AE111" s="199"/>
      <c r="AF111" s="355" t="str">
        <f>IF($AC$2="","",$AC$2)</f>
        <v>HENWOOD PHILIPPE</v>
      </c>
      <c r="AG111" s="355"/>
      <c r="AH111" s="355"/>
      <c r="AI111" s="322">
        <f>IF($AC$2="","",$AB$104)</f>
        <v>5.7142857142857144</v>
      </c>
      <c r="AJ111" s="272">
        <f>IF($AC$2="","",$AB$103)</f>
        <v>27</v>
      </c>
      <c r="AK111" s="323"/>
      <c r="AX111" s="212"/>
      <c r="CC111" s="212"/>
      <c r="CG111" s="212"/>
      <c r="CK111" s="212"/>
      <c r="CO111" s="278"/>
    </row>
    <row r="112" spans="1:95" ht="15.6" x14ac:dyDescent="0.3">
      <c r="O112" s="275" t="str">
        <f>IF(O94="","",O94)</f>
        <v>CASTANER GEORGES</v>
      </c>
      <c r="P112" s="276">
        <f t="shared" ref="P112:S112" ca="1" si="124">+P94</f>
        <v>246</v>
      </c>
      <c r="Q112" s="276">
        <f t="shared" ca="1" si="124"/>
        <v>78</v>
      </c>
      <c r="R112" s="276">
        <f t="shared" ca="1" si="124"/>
        <v>4</v>
      </c>
      <c r="S112" s="277">
        <f t="shared" ca="1" si="124"/>
        <v>3.1538461538461537</v>
      </c>
      <c r="AA112" s="199"/>
      <c r="AB112" s="199"/>
      <c r="AD112" s="199"/>
      <c r="AE112" s="199"/>
      <c r="AF112" s="355" t="str">
        <f>IF($AG$2="","",$AG$2)</f>
        <v>CASTANER GEORGES</v>
      </c>
      <c r="AG112" s="355"/>
      <c r="AH112" s="355"/>
      <c r="AI112" s="322">
        <f>IF($AG$2="","",$AF$104)</f>
        <v>3.3333333333333335</v>
      </c>
      <c r="AJ112" s="272">
        <f>IF($AG$2="","",$AF$103)</f>
        <v>22</v>
      </c>
      <c r="AK112" s="323"/>
      <c r="AT112" s="212"/>
      <c r="AX112" s="212"/>
      <c r="CC112" s="212"/>
      <c r="CG112" s="212"/>
      <c r="CK112" s="212"/>
    </row>
    <row r="113" spans="15:89" ht="15.6" x14ac:dyDescent="0.3">
      <c r="O113" s="275" t="str">
        <f>IF(O97="","",O97)</f>
        <v>CREDOT GERALD</v>
      </c>
      <c r="P113" s="276">
        <f t="shared" ref="P113:S113" ca="1" si="125">+P97</f>
        <v>320</v>
      </c>
      <c r="Q113" s="276">
        <f t="shared" ca="1" si="125"/>
        <v>86</v>
      </c>
      <c r="R113" s="276">
        <f t="shared" ca="1" si="125"/>
        <v>7</v>
      </c>
      <c r="S113" s="277">
        <f t="shared" ca="1" si="125"/>
        <v>3.7209302325581395</v>
      </c>
      <c r="AF113" s="355" t="str">
        <f>IF($AK$2="","",$AK$2)</f>
        <v>CREDOT GERALD</v>
      </c>
      <c r="AG113" s="355"/>
      <c r="AH113" s="355"/>
      <c r="AI113" s="322">
        <f>IF($AK$2="","",$AL$104)</f>
        <v>4</v>
      </c>
      <c r="AJ113" s="272">
        <f>IF($AK$2="","",$AL$103)</f>
        <v>17</v>
      </c>
      <c r="AK113" s="324"/>
      <c r="AS113" s="305"/>
      <c r="AT113" s="278"/>
      <c r="AX113" s="278"/>
      <c r="CC113" s="278"/>
      <c r="CG113" s="278"/>
      <c r="CK113" s="278"/>
    </row>
    <row r="114" spans="15:89" ht="15.6" x14ac:dyDescent="0.3">
      <c r="O114" s="275" t="str">
        <f>IF(O100="","",O100)</f>
        <v>BLANCHARD THIERRY</v>
      </c>
      <c r="P114" s="276">
        <f t="shared" ref="P114:S114" ca="1" si="126">+P100</f>
        <v>214</v>
      </c>
      <c r="Q114" s="276">
        <f t="shared" ca="1" si="126"/>
        <v>82</v>
      </c>
      <c r="R114" s="276">
        <f t="shared" ca="1" si="126"/>
        <v>2</v>
      </c>
      <c r="S114" s="277">
        <f t="shared" ca="1" si="126"/>
        <v>2.6097560975609757</v>
      </c>
      <c r="AE114" s="305"/>
      <c r="AF114" s="355" t="str">
        <f>IF($AO$2="","",$AO$2)</f>
        <v>BLANCHARD THIERRY</v>
      </c>
      <c r="AG114" s="355"/>
      <c r="AH114" s="355"/>
      <c r="AI114" s="322">
        <f>IF($AO$2="","",$AN$104)</f>
        <v>0</v>
      </c>
      <c r="AJ114" s="272">
        <f>IF($AO$2="","",$AN$103)</f>
        <v>20</v>
      </c>
      <c r="AK114" s="324"/>
      <c r="AS114" s="305"/>
    </row>
    <row r="115" spans="15:89" ht="15.6" x14ac:dyDescent="0.3">
      <c r="O115" s="275" t="str">
        <f>IF(O103="","",O103)</f>
        <v>LACHOQUE DANIEL</v>
      </c>
      <c r="P115" s="276">
        <f t="shared" ref="P115:S115" ca="1" si="127">+P103</f>
        <v>256</v>
      </c>
      <c r="Q115" s="276">
        <f t="shared" ca="1" si="127"/>
        <v>73</v>
      </c>
      <c r="R115" s="276">
        <f t="shared" ca="1" si="127"/>
        <v>3</v>
      </c>
      <c r="S115" s="277">
        <f t="shared" ca="1" si="127"/>
        <v>3.506849315068493</v>
      </c>
      <c r="AE115" s="305"/>
      <c r="AF115" s="355" t="str">
        <f>IF($AS$2="","",$AS$2)</f>
        <v>LACHOQUE DANIEL</v>
      </c>
      <c r="AG115" s="355"/>
      <c r="AH115" s="355"/>
      <c r="AI115" s="322">
        <f>IF($AS$2="","",$AR$104)</f>
        <v>8.8888888888888893</v>
      </c>
      <c r="AJ115" s="272">
        <f>IF($AS$2="","",$AR$103)</f>
        <v>19</v>
      </c>
      <c r="AK115" s="324"/>
    </row>
    <row r="116" spans="15:89" x14ac:dyDescent="0.3">
      <c r="O116" s="275" t="str">
        <f>IF(O106="","",O106)</f>
        <v/>
      </c>
      <c r="P116" s="276" t="str">
        <f t="shared" ref="P116:S116" si="128">+P106</f>
        <v/>
      </c>
      <c r="Q116" s="276" t="str">
        <f t="shared" si="128"/>
        <v/>
      </c>
      <c r="R116" s="276" t="str">
        <f t="shared" si="128"/>
        <v/>
      </c>
      <c r="S116" s="277" t="str">
        <f t="shared" si="128"/>
        <v/>
      </c>
      <c r="AE116" s="283"/>
      <c r="AG116" s="305"/>
      <c r="AH116" s="199"/>
      <c r="AI116" s="199"/>
      <c r="AJ116" s="199"/>
    </row>
    <row r="117" spans="15:89" x14ac:dyDescent="0.3">
      <c r="AE117" s="305"/>
      <c r="AG117" s="283"/>
      <c r="AH117" s="283"/>
    </row>
    <row r="118" spans="15:89" x14ac:dyDescent="0.3">
      <c r="AE118" s="305"/>
    </row>
    <row r="119" spans="15:89" x14ac:dyDescent="0.3">
      <c r="Z119" s="283"/>
      <c r="AE119" s="305"/>
    </row>
    <row r="120" spans="15:89" x14ac:dyDescent="0.3">
      <c r="Z120" s="283"/>
    </row>
  </sheetData>
  <sheetProtection selectLockedCells="1"/>
  <mergeCells count="70">
    <mergeCell ref="AF113:AH113"/>
    <mergeCell ref="AF114:AH114"/>
    <mergeCell ref="AF115:AH115"/>
    <mergeCell ref="AF109:AG109"/>
    <mergeCell ref="AF111:AH111"/>
    <mergeCell ref="AF112:AH112"/>
    <mergeCell ref="FG32:FH32"/>
    <mergeCell ref="FG33:FH33"/>
    <mergeCell ref="FE34:FF34"/>
    <mergeCell ref="FG34:FH34"/>
    <mergeCell ref="EY33:EZ33"/>
    <mergeCell ref="EY34:EZ34"/>
    <mergeCell ref="FE33:FF33"/>
    <mergeCell ref="EY32:EZ32"/>
    <mergeCell ref="P35:P36"/>
    <mergeCell ref="EY27:EZ27"/>
    <mergeCell ref="FE27:FF27"/>
    <mergeCell ref="FE28:FF28"/>
    <mergeCell ref="FE29:FF29"/>
    <mergeCell ref="FE30:FF30"/>
    <mergeCell ref="P28:P29"/>
    <mergeCell ref="FE31:FF31"/>
    <mergeCell ref="FE32:FF32"/>
    <mergeCell ref="EY29:EZ29"/>
    <mergeCell ref="P9:P10"/>
    <mergeCell ref="P6:P7"/>
    <mergeCell ref="M21:Y21"/>
    <mergeCell ref="M26:Y26"/>
    <mergeCell ref="FG27:FH27"/>
    <mergeCell ref="P23:P24"/>
    <mergeCell ref="O12:X12"/>
    <mergeCell ref="FG28:FH28"/>
    <mergeCell ref="FG29:FH29"/>
    <mergeCell ref="FG30:FH30"/>
    <mergeCell ref="FG31:FH31"/>
    <mergeCell ref="EY30:EZ30"/>
    <mergeCell ref="EY31:EZ31"/>
    <mergeCell ref="EY28:EZ28"/>
    <mergeCell ref="EY1:FP1"/>
    <mergeCell ref="CX6:CX10"/>
    <mergeCell ref="CX11:CX15"/>
    <mergeCell ref="CX16:CX20"/>
    <mergeCell ref="B26:B27"/>
    <mergeCell ref="C1:K1"/>
    <mergeCell ref="O1:X1"/>
    <mergeCell ref="C3:K3"/>
    <mergeCell ref="C12:K12"/>
    <mergeCell ref="C21:K21"/>
    <mergeCell ref="D6:D7"/>
    <mergeCell ref="O3:X3"/>
    <mergeCell ref="D9:D10"/>
    <mergeCell ref="D14:D15"/>
    <mergeCell ref="P17:P18"/>
    <mergeCell ref="P14:P15"/>
    <mergeCell ref="B31:B32"/>
    <mergeCell ref="B34:B35"/>
    <mergeCell ref="N6:N7"/>
    <mergeCell ref="N9:N10"/>
    <mergeCell ref="B6:B7"/>
    <mergeCell ref="B9:B10"/>
    <mergeCell ref="B14:B15"/>
    <mergeCell ref="B17:B18"/>
    <mergeCell ref="B23:B24"/>
    <mergeCell ref="D34:D35"/>
    <mergeCell ref="C29:K29"/>
    <mergeCell ref="D26:D27"/>
    <mergeCell ref="D23:D24"/>
    <mergeCell ref="M33:Y33"/>
    <mergeCell ref="D31:D32"/>
    <mergeCell ref="D17:D18"/>
  </mergeCells>
  <phoneticPr fontId="0" type="noConversion"/>
  <conditionalFormatting sqref="A1:XFD2 A3:O3 Y3:XFD3 A4:XFD5 A6:D7 H6:P7 T6:XFD7 A8:XFD8 A9:D10 H9:P10 T9:XFD10 A11:XFD13 A14:D15 H14:P15 T14:XFD15 A16:XFD16 H17:M17 O17:P17 A17:D18 T17:XFD18 H18:P18 A19:XFD22 A23:D24 H23:P24 T23:XFD24 A25:XFD25 A26:D27 H26:XFD27 A28:P29 T28:XFD29 A30:XFD30 A31:D32 H31:XFD32 A33:XFD33 H34:XFD34 A34:D35 H35:P35 T35:XFD36 A36:P36 A37:XFD1048576">
    <cfRule type="cellIs" dxfId="23" priority="32" operator="equal">
      <formula>"Billard 2"</formula>
    </cfRule>
    <cfRule type="cellIs" dxfId="22" priority="33" operator="equal">
      <formula>"Billard 1"</formula>
    </cfRule>
  </conditionalFormatting>
  <conditionalFormatting sqref="E6:G6 E7 G7">
    <cfRule type="containsBlanks" dxfId="21" priority="14">
      <formula>LEN(TRIM(E6))=0</formula>
    </cfRule>
  </conditionalFormatting>
  <conditionalFormatting sqref="E9:G9 E10 G10">
    <cfRule type="containsBlanks" dxfId="20" priority="13">
      <formula>LEN(TRIM(E9))=0</formula>
    </cfRule>
  </conditionalFormatting>
  <conditionalFormatting sqref="E14:G14 E15 G15">
    <cfRule type="containsBlanks" dxfId="19" priority="12">
      <formula>LEN(TRIM(E14))=0</formula>
    </cfRule>
  </conditionalFormatting>
  <conditionalFormatting sqref="E17:G17 E18 G18">
    <cfRule type="containsBlanks" dxfId="18" priority="11">
      <formula>LEN(TRIM(E17))=0</formula>
    </cfRule>
  </conditionalFormatting>
  <conditionalFormatting sqref="E23:G23 E24 G24">
    <cfRule type="containsBlanks" dxfId="17" priority="10">
      <formula>LEN(TRIM(E23))=0</formula>
    </cfRule>
  </conditionalFormatting>
  <conditionalFormatting sqref="E26:G26 E27 G27">
    <cfRule type="containsBlanks" dxfId="16" priority="9">
      <formula>LEN(TRIM(E26))=0</formula>
    </cfRule>
  </conditionalFormatting>
  <conditionalFormatting sqref="E31:G31 E32 G32">
    <cfRule type="containsBlanks" dxfId="15" priority="8">
      <formula>LEN(TRIM(E31))=0</formula>
    </cfRule>
  </conditionalFormatting>
  <conditionalFormatting sqref="E34:G34 E35 G35">
    <cfRule type="containsBlanks" dxfId="14" priority="7">
      <formula>LEN(TRIM(E34))=0</formula>
    </cfRule>
  </conditionalFormatting>
  <conditionalFormatting sqref="M61:O63 M65:O67">
    <cfRule type="expression" dxfId="13" priority="34">
      <formula>ISBLANK(M61)</formula>
    </cfRule>
  </conditionalFormatting>
  <conditionalFormatting sqref="Q6:S6 Q7 S7">
    <cfRule type="containsBlanks" dxfId="12" priority="6">
      <formula>LEN(TRIM(Q6))=0</formula>
    </cfRule>
  </conditionalFormatting>
  <conditionalFormatting sqref="Q9:S9 Q10 S10">
    <cfRule type="containsBlanks" dxfId="11" priority="5">
      <formula>LEN(TRIM(Q9))=0</formula>
    </cfRule>
  </conditionalFormatting>
  <pageMargins left="0.17" right="0.25" top="0.6" bottom="0.74803149606299213" header="0.31496062992125984" footer="0.31496062992125984"/>
  <pageSetup paperSize="9" scale="6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81"/>
  <sheetViews>
    <sheetView tabSelected="1" workbookViewId="0">
      <selection activeCell="M23" sqref="M23"/>
    </sheetView>
  </sheetViews>
  <sheetFormatPr baseColWidth="10" defaultColWidth="11.44140625" defaultRowHeight="13.8" x14ac:dyDescent="0.3"/>
  <cols>
    <col min="1" max="1" width="1.21875" style="2" customWidth="1"/>
    <col min="2" max="2" width="6.88671875" style="2" customWidth="1"/>
    <col min="3" max="3" width="33.77734375" style="2" customWidth="1"/>
    <col min="4" max="6" width="9.5546875" style="2" customWidth="1"/>
    <col min="7" max="8" width="9.77734375" style="2" customWidth="1"/>
    <col min="9" max="9" width="7.77734375" style="2" customWidth="1"/>
    <col min="10" max="10" width="1" style="2" customWidth="1"/>
    <col min="11" max="11" width="0.5546875" style="2" customWidth="1"/>
    <col min="12" max="12" width="3.44140625" style="2" customWidth="1"/>
    <col min="13" max="13" width="25.6640625" style="168" customWidth="1"/>
    <col min="14" max="18" width="4.77734375" style="2" customWidth="1"/>
    <col min="19" max="20" width="4.77734375" style="2" hidden="1" customWidth="1"/>
    <col min="21" max="21" width="4.77734375" style="2" customWidth="1"/>
    <col min="22" max="22" width="4.33203125" style="2" bestFit="1" customWidth="1"/>
    <col min="23" max="23" width="2.5546875" style="2" customWidth="1"/>
    <col min="24" max="16384" width="11.44140625" style="2"/>
  </cols>
  <sheetData>
    <row r="1" spans="1:27" ht="23.4" x14ac:dyDescent="0.45">
      <c r="B1" s="357" t="s">
        <v>175</v>
      </c>
      <c r="C1" s="358"/>
      <c r="D1" s="358"/>
      <c r="E1" s="358"/>
      <c r="F1" s="358"/>
      <c r="G1" s="358"/>
      <c r="H1" s="358"/>
      <c r="I1" s="359"/>
      <c r="K1" s="18"/>
      <c r="L1" s="18"/>
      <c r="M1" s="360"/>
      <c r="N1" s="361"/>
      <c r="O1" s="361"/>
      <c r="P1" s="361"/>
      <c r="Q1" s="361"/>
      <c r="R1" s="361"/>
      <c r="S1" s="361"/>
      <c r="T1" s="361"/>
      <c r="U1" s="362"/>
      <c r="V1" s="18"/>
      <c r="W1" s="18"/>
      <c r="X1" s="18"/>
      <c r="Y1" s="18"/>
    </row>
    <row r="2" spans="1:27" ht="4.5" customHeight="1" x14ac:dyDescent="0.3"/>
    <row r="3" spans="1:27" x14ac:dyDescent="0.3">
      <c r="A3" s="34"/>
      <c r="C3" s="20" t="s">
        <v>176</v>
      </c>
      <c r="D3" s="363" t="str">
        <f>IF(Tirage!H5="","",Tirage!H5)</f>
        <v>Finale Oise</v>
      </c>
      <c r="E3" s="363"/>
      <c r="L3" s="366" t="str">
        <f>Match!C3</f>
        <v>Tour n°1</v>
      </c>
      <c r="M3" s="193" t="str">
        <f>Match!$C6</f>
        <v>CASTANER GEORGES</v>
      </c>
      <c r="N3" s="364">
        <f>Match!$D6</f>
        <v>80</v>
      </c>
      <c r="O3" s="35">
        <f>IF(Match!$E6="","",Match!$E6)</f>
        <v>80</v>
      </c>
      <c r="P3" s="35">
        <f>IF(Match!$F6="","",Match!$F6)</f>
        <v>24</v>
      </c>
      <c r="Q3" s="167">
        <f>IF(Match!$G6="","",Match!$G6)</f>
        <v>22</v>
      </c>
      <c r="R3" s="63">
        <f>IF(Match!$H6="","",Match!$H6)</f>
        <v>3.3333333333333335</v>
      </c>
      <c r="S3" s="63">
        <f>Match!I6</f>
        <v>0</v>
      </c>
      <c r="T3" s="63">
        <f>Match!J6</f>
        <v>3.5533333333333337</v>
      </c>
      <c r="U3" s="35">
        <f>IF(Match!$K6="","",Match!$K6)</f>
        <v>2</v>
      </c>
      <c r="X3" s="54"/>
      <c r="Y3" s="54"/>
      <c r="Z3" s="54"/>
      <c r="AA3" s="54"/>
    </row>
    <row r="4" spans="1:27" x14ac:dyDescent="0.3">
      <c r="C4" s="20" t="s">
        <v>177</v>
      </c>
      <c r="D4" s="363" t="str">
        <f>IF(Tirage!H6="","",Tirage!H6)</f>
        <v>CADRE</v>
      </c>
      <c r="E4" s="363"/>
      <c r="L4" s="366"/>
      <c r="M4" s="193" t="str">
        <f>Match!C7</f>
        <v>LACHOQUE DANIEL</v>
      </c>
      <c r="N4" s="365"/>
      <c r="O4" s="35">
        <f>IF(Match!$E7="","",Match!$E7)</f>
        <v>41</v>
      </c>
      <c r="P4" s="35">
        <f>IF(Match!$F7="","",Match!$F7)</f>
        <v>24</v>
      </c>
      <c r="Q4" s="167">
        <f>IF(Match!$G7="","",Match!$G7)</f>
        <v>9</v>
      </c>
      <c r="R4" s="35">
        <f>IF(Match!$H7="","",Match!$H7)</f>
        <v>1.7083333333333333</v>
      </c>
      <c r="S4" s="167">
        <f>Match!I7</f>
        <v>0</v>
      </c>
      <c r="T4" s="63">
        <f>Match!J7</f>
        <v>1.7983333333333333</v>
      </c>
      <c r="U4" s="35">
        <f>IF(Match!$K7="","",Match!$K7)</f>
        <v>0</v>
      </c>
      <c r="X4" s="54"/>
      <c r="Y4" s="166"/>
      <c r="Z4" s="166"/>
      <c r="AA4" s="54"/>
    </row>
    <row r="5" spans="1:27" x14ac:dyDescent="0.3">
      <c r="C5" s="20" t="str">
        <f>Tirage!G7</f>
        <v>Catégorie</v>
      </c>
      <c r="D5" s="363" t="str">
        <f>IF(Tirage!H7="","",Tirage!H7)</f>
        <v>REGIONAL 1</v>
      </c>
      <c r="E5" s="363"/>
      <c r="K5" s="19"/>
      <c r="L5" s="366"/>
      <c r="M5" s="193" t="str">
        <f>Match!C9</f>
        <v>CREDOT GERALD</v>
      </c>
      <c r="N5" s="364">
        <f>Match!D9</f>
        <v>80</v>
      </c>
      <c r="O5" s="35">
        <f>IF(Match!$E9="","",Match!$E9)</f>
        <v>80</v>
      </c>
      <c r="P5" s="35">
        <f>IF(Match!$F9="","",Match!$F9)</f>
        <v>23</v>
      </c>
      <c r="Q5" s="167">
        <f>IF(Match!$G9="","",Match!$G9)</f>
        <v>14</v>
      </c>
      <c r="R5" s="35">
        <f>IF(Match!$H9="","",Match!$H9)</f>
        <v>3.4782608695652173</v>
      </c>
      <c r="S5" s="63">
        <f>Match!I9</f>
        <v>0</v>
      </c>
      <c r="T5" s="63">
        <f>Match!J9</f>
        <v>3.6182608695652174</v>
      </c>
      <c r="U5" s="35">
        <f>IF(Match!$K9="","",Match!$K9)</f>
        <v>2</v>
      </c>
      <c r="X5" s="54"/>
      <c r="Y5" s="166"/>
      <c r="Z5" s="166"/>
      <c r="AA5" s="54"/>
    </row>
    <row r="6" spans="1:27" x14ac:dyDescent="0.3">
      <c r="C6" s="20" t="s">
        <v>178</v>
      </c>
      <c r="D6" s="363" t="str">
        <f>IF(Tirage!H8="","",Tirage!H8)</f>
        <v>B.C CREPY EN VALOIS</v>
      </c>
      <c r="E6" s="363"/>
      <c r="F6" s="363"/>
      <c r="G6" s="363"/>
      <c r="H6" s="363"/>
      <c r="L6" s="366"/>
      <c r="M6" s="193" t="str">
        <f>Match!C10</f>
        <v>BLANCHARD THIERRY</v>
      </c>
      <c r="N6" s="365"/>
      <c r="O6" s="35">
        <f>IF(Match!$E10="","",Match!$E10)</f>
        <v>59</v>
      </c>
      <c r="P6" s="35">
        <f>IF(Match!$F10="","",Match!$F10)</f>
        <v>23</v>
      </c>
      <c r="Q6" s="167">
        <f>IF(Match!$G10="","",Match!$G10)</f>
        <v>11</v>
      </c>
      <c r="R6" s="35">
        <f>IF(Match!$H10="","",Match!$H10)</f>
        <v>2.5652173913043477</v>
      </c>
      <c r="S6" s="167">
        <f>Match!I10</f>
        <v>0</v>
      </c>
      <c r="T6" s="63">
        <f>Match!J10</f>
        <v>2.6752173913043475</v>
      </c>
      <c r="U6" s="35">
        <f>IF(Match!$K10="","",Match!$K10)</f>
        <v>0</v>
      </c>
      <c r="X6" s="54"/>
      <c r="Y6" s="166"/>
      <c r="Z6" s="166"/>
      <c r="AA6" s="54"/>
    </row>
    <row r="7" spans="1:27" x14ac:dyDescent="0.3">
      <c r="C7" s="20" t="s">
        <v>179</v>
      </c>
      <c r="D7" s="369">
        <f>IF(Tirage!H9="","",Tirage!H9)</f>
        <v>46046</v>
      </c>
      <c r="E7" s="369"/>
      <c r="F7" s="369"/>
      <c r="L7" s="19"/>
      <c r="N7" s="36"/>
      <c r="X7" s="54"/>
      <c r="Y7" s="166"/>
      <c r="Z7" s="166"/>
      <c r="AA7" s="54"/>
    </row>
    <row r="8" spans="1:27" x14ac:dyDescent="0.3">
      <c r="L8" s="366" t="str">
        <f>Match!C12</f>
        <v>Tour n°2</v>
      </c>
      <c r="M8" s="193" t="str">
        <f>Match!C14</f>
        <v>HENWOOD PHILIPPE</v>
      </c>
      <c r="N8" s="364">
        <f>Match!D14</f>
        <v>80</v>
      </c>
      <c r="O8" s="35">
        <f>IF(Match!$E14="","",Match!$E14)</f>
        <v>45</v>
      </c>
      <c r="P8" s="35">
        <f>IF(Match!$F14="","",Match!$F14)</f>
        <v>9</v>
      </c>
      <c r="Q8" s="167">
        <f>IF(Match!$G14="","",Match!$G14)</f>
        <v>12</v>
      </c>
      <c r="R8" s="63">
        <f>IF(Match!$H14="","",Match!$H14)</f>
        <v>5</v>
      </c>
      <c r="S8" s="63">
        <f>Match!I14</f>
        <v>0</v>
      </c>
      <c r="T8" s="63">
        <f>Match!J14</f>
        <v>5.12</v>
      </c>
      <c r="U8" s="35">
        <f>IF(Match!$K14="","",Match!$K14)</f>
        <v>0</v>
      </c>
      <c r="X8" s="54"/>
      <c r="Y8" s="166"/>
      <c r="Z8" s="166"/>
      <c r="AA8" s="54"/>
    </row>
    <row r="9" spans="1:27" ht="14.25" customHeight="1" x14ac:dyDescent="0.3">
      <c r="L9" s="366"/>
      <c r="M9" s="193" t="str">
        <f>Match!C15</f>
        <v>LACHOQUE DANIEL</v>
      </c>
      <c r="N9" s="365"/>
      <c r="O9" s="35">
        <f>IF(Match!$E15="","",Match!$E15)</f>
        <v>80</v>
      </c>
      <c r="P9" s="35">
        <f>IF(Match!$F15="","",Match!$F15)</f>
        <v>9</v>
      </c>
      <c r="Q9" s="167">
        <f>IF(Match!$G15="","",Match!$G15)</f>
        <v>18</v>
      </c>
      <c r="R9" s="35">
        <f>IF(Match!$H15="","",Match!$H15)</f>
        <v>8.8888888888888893</v>
      </c>
      <c r="S9" s="167">
        <f>Match!I15</f>
        <v>0</v>
      </c>
      <c r="T9" s="63">
        <f>Match!J15</f>
        <v>9.068888888888889</v>
      </c>
      <c r="U9" s="35">
        <f>IF(Match!$K15="","",Match!$K15)</f>
        <v>2</v>
      </c>
      <c r="X9" s="54"/>
      <c r="Y9" s="166"/>
      <c r="Z9" s="166"/>
      <c r="AA9" s="54"/>
    </row>
    <row r="10" spans="1:27" ht="14.4" thickBot="1" x14ac:dyDescent="0.35">
      <c r="L10" s="366"/>
      <c r="M10" s="193" t="str">
        <f>Match!C17</f>
        <v>CASTANER GEORGES</v>
      </c>
      <c r="N10" s="364">
        <f>Match!D17</f>
        <v>80</v>
      </c>
      <c r="O10" s="35">
        <f>IF(Match!$E17="","",Match!$E17)</f>
        <v>48</v>
      </c>
      <c r="P10" s="35">
        <f>IF(Match!$F17="","",Match!$F17)</f>
        <v>21</v>
      </c>
      <c r="Q10" s="167">
        <f>IF(Match!$G17="","",Match!$G17)</f>
        <v>8</v>
      </c>
      <c r="R10" s="35">
        <f>IF(Match!$H17="","",Match!$H17)</f>
        <v>2.2857142857142856</v>
      </c>
      <c r="S10" s="63">
        <f>Match!I17</f>
        <v>0</v>
      </c>
      <c r="T10" s="63">
        <f>Match!J17</f>
        <v>2.3657142857142857</v>
      </c>
      <c r="U10" s="35">
        <f>IF(Match!$K17="","",Match!$K17)</f>
        <v>0</v>
      </c>
      <c r="X10" s="54"/>
      <c r="Y10" s="166"/>
      <c r="Z10" s="166"/>
      <c r="AA10" s="54"/>
    </row>
    <row r="11" spans="1:27" x14ac:dyDescent="0.3">
      <c r="B11" s="37" t="s">
        <v>180</v>
      </c>
      <c r="C11" s="38" t="s">
        <v>181</v>
      </c>
      <c r="D11" s="38" t="s">
        <v>182</v>
      </c>
      <c r="E11" s="38" t="s">
        <v>183</v>
      </c>
      <c r="F11" s="38" t="s">
        <v>184</v>
      </c>
      <c r="G11" s="38" t="s">
        <v>142</v>
      </c>
      <c r="H11" s="38" t="s">
        <v>153</v>
      </c>
      <c r="I11" s="39" t="s">
        <v>182</v>
      </c>
      <c r="L11" s="366"/>
      <c r="M11" s="193" t="str">
        <f>Match!C18</f>
        <v>CREDOT GERALD</v>
      </c>
      <c r="N11" s="365"/>
      <c r="O11" s="35">
        <f>IF(Match!$E18="","",Match!$E18)</f>
        <v>80</v>
      </c>
      <c r="P11" s="35">
        <f>IF(Match!$F18="","",Match!$F18)</f>
        <v>21</v>
      </c>
      <c r="Q11" s="167">
        <f>IF(Match!$G18="","",Match!$G18)</f>
        <v>17</v>
      </c>
      <c r="R11" s="35">
        <f>IF(Match!$H18="","",Match!$H18)</f>
        <v>3.8095238095238093</v>
      </c>
      <c r="S11" s="167">
        <f>Match!I18</f>
        <v>0</v>
      </c>
      <c r="T11" s="63">
        <f>Match!J18</f>
        <v>3.9795238095238092</v>
      </c>
      <c r="U11" s="35">
        <f>IF(Match!$K18="","",Match!$K18)</f>
        <v>2</v>
      </c>
      <c r="X11" s="54"/>
      <c r="Y11" s="166"/>
      <c r="Z11" s="166"/>
      <c r="AA11" s="54"/>
    </row>
    <row r="12" spans="1:27" x14ac:dyDescent="0.3">
      <c r="B12" s="40">
        <f t="shared" ref="B12:B17" si="0">IF(ISERROR(B72),,B72)</f>
        <v>1</v>
      </c>
      <c r="C12" s="41" t="str">
        <f t="shared" ref="C12:C19" ca="1" si="1">IF($E58="","",$C72)</f>
        <v>CREDOT GERALD</v>
      </c>
      <c r="D12" s="42">
        <f t="shared" ref="D12:D19" ca="1" si="2">IF($D58="","",$D72)</f>
        <v>320</v>
      </c>
      <c r="E12" s="42">
        <f ca="1">IF($F58="","",$E72)</f>
        <v>86</v>
      </c>
      <c r="F12" s="42">
        <f ca="1">IF($E58="","",$I72)</f>
        <v>17</v>
      </c>
      <c r="G12" s="43">
        <f ca="1">IF($E58="","",$H72)</f>
        <v>4</v>
      </c>
      <c r="H12" s="43">
        <f ca="1">IF($E58="","",$G72)</f>
        <v>3.7209302325581395</v>
      </c>
      <c r="I12" s="44">
        <f ca="1">IF($E58="","",$F72)</f>
        <v>7</v>
      </c>
      <c r="M12" s="194"/>
      <c r="N12" s="21"/>
      <c r="O12" s="19"/>
      <c r="P12" s="19"/>
      <c r="Q12" s="19"/>
      <c r="R12" s="19"/>
      <c r="S12" s="19"/>
      <c r="T12" s="19"/>
      <c r="U12" s="19"/>
    </row>
    <row r="13" spans="1:27" x14ac:dyDescent="0.3">
      <c r="B13" s="40">
        <f t="shared" si="0"/>
        <v>2</v>
      </c>
      <c r="C13" s="41" t="str">
        <f t="shared" ca="1" si="1"/>
        <v>HENWOOD PHILIPPE</v>
      </c>
      <c r="D13" s="42">
        <f t="shared" ca="1" si="2"/>
        <v>264</v>
      </c>
      <c r="E13" s="42">
        <f t="shared" ref="E13:E19" ca="1" si="3">IF($F59="","",$E73)</f>
        <v>53</v>
      </c>
      <c r="F13" s="42">
        <f t="shared" ref="F13:F19" ca="1" si="4">IF($E59="","",$I73)</f>
        <v>27</v>
      </c>
      <c r="G13" s="43">
        <f t="shared" ref="G13:G19" ca="1" si="5">IF($E59="","",$H73)</f>
        <v>5.7142857142857144</v>
      </c>
      <c r="H13" s="43">
        <f t="shared" ref="H13:H19" ca="1" si="6">IF($E59="","",$G73)</f>
        <v>4.9811320754716979</v>
      </c>
      <c r="I13" s="44">
        <f t="shared" ref="I13:I17" ca="1" si="7">IF($E59="","",$F73)</f>
        <v>4</v>
      </c>
      <c r="L13" s="366" t="str">
        <f>Match!C21</f>
        <v>Tour n°3</v>
      </c>
      <c r="M13" s="193" t="str">
        <f>Match!C23</f>
        <v>HENWOOD PHILIPPE</v>
      </c>
      <c r="N13" s="364">
        <f>Match!D23</f>
        <v>80</v>
      </c>
      <c r="O13" s="35">
        <f>IF(Match!$E23="","",Match!$E23)</f>
        <v>80</v>
      </c>
      <c r="P13" s="35">
        <f>IF(Match!$F23="","",Match!$F23)</f>
        <v>14</v>
      </c>
      <c r="Q13" s="167">
        <f>IF(Match!$G23="","",Match!$G23)</f>
        <v>17</v>
      </c>
      <c r="R13" s="63">
        <f>IF(Match!$H23="","",Match!$H23)</f>
        <v>5.7142857142857144</v>
      </c>
      <c r="S13" s="63">
        <f>Match!I23</f>
        <v>0</v>
      </c>
      <c r="T13" s="63">
        <f>Match!J23</f>
        <v>5.8842857142857143</v>
      </c>
      <c r="U13" s="35">
        <f>IF(Match!$K23="","",Match!$K23)</f>
        <v>2</v>
      </c>
    </row>
    <row r="14" spans="1:27" x14ac:dyDescent="0.3">
      <c r="B14" s="40">
        <f t="shared" si="0"/>
        <v>3</v>
      </c>
      <c r="C14" s="41" t="str">
        <f t="shared" ca="1" si="1"/>
        <v>CASTANER GEORGES</v>
      </c>
      <c r="D14" s="42">
        <f t="shared" ca="1" si="2"/>
        <v>246</v>
      </c>
      <c r="E14" s="42">
        <f t="shared" ca="1" si="3"/>
        <v>78</v>
      </c>
      <c r="F14" s="42">
        <f t="shared" ca="1" si="4"/>
        <v>22</v>
      </c>
      <c r="G14" s="43">
        <f t="shared" ca="1" si="5"/>
        <v>3.3333333333333335</v>
      </c>
      <c r="H14" s="43">
        <f t="shared" ca="1" si="6"/>
        <v>3.1538461538461537</v>
      </c>
      <c r="I14" s="44">
        <f t="shared" ca="1" si="7"/>
        <v>4</v>
      </c>
      <c r="L14" s="366"/>
      <c r="M14" s="193" t="str">
        <f>Match!C24</f>
        <v>BLANCHARD THIERRY</v>
      </c>
      <c r="N14" s="365"/>
      <c r="O14" s="35">
        <f>IF(Match!$E24="","",Match!$E24)</f>
        <v>34</v>
      </c>
      <c r="P14" s="35">
        <f>IF(Match!$F24="","",Match!$F24)</f>
        <v>14</v>
      </c>
      <c r="Q14" s="167">
        <f>IF(Match!$G24="","",Match!$G24)</f>
        <v>9</v>
      </c>
      <c r="R14" s="63">
        <f>IF(Match!$H24="","",Match!$H24)</f>
        <v>2.4285714285714284</v>
      </c>
      <c r="S14" s="167">
        <f>Match!I24</f>
        <v>0</v>
      </c>
      <c r="T14" s="63">
        <f>Match!J24</f>
        <v>2.5185714285714282</v>
      </c>
      <c r="U14" s="35">
        <f>IF(Match!$K24="","",Match!$K24)</f>
        <v>0</v>
      </c>
    </row>
    <row r="15" spans="1:27" x14ac:dyDescent="0.3">
      <c r="B15" s="40">
        <f t="shared" si="0"/>
        <v>4</v>
      </c>
      <c r="C15" s="41" t="str">
        <f t="shared" ca="1" si="1"/>
        <v>LACHOQUE DANIEL</v>
      </c>
      <c r="D15" s="42">
        <f t="shared" ca="1" si="2"/>
        <v>256</v>
      </c>
      <c r="E15" s="42">
        <f t="shared" ca="1" si="3"/>
        <v>73</v>
      </c>
      <c r="F15" s="42">
        <f t="shared" ca="1" si="4"/>
        <v>19</v>
      </c>
      <c r="G15" s="43">
        <f t="shared" ca="1" si="5"/>
        <v>8.8888888888888893</v>
      </c>
      <c r="H15" s="43">
        <f t="shared" ca="1" si="6"/>
        <v>3.506849315068493</v>
      </c>
      <c r="I15" s="44">
        <f t="shared" ca="1" si="7"/>
        <v>3</v>
      </c>
      <c r="L15" s="366"/>
      <c r="M15" s="193" t="str">
        <f>Match!C26</f>
        <v>CREDOT GERALD</v>
      </c>
      <c r="N15" s="364">
        <f>Match!D26</f>
        <v>80</v>
      </c>
      <c r="O15" s="35">
        <f>IF(Match!$E26="","",Match!$E26)</f>
        <v>80</v>
      </c>
      <c r="P15" s="35">
        <f>IF(Match!$F26="","",Match!$F26)</f>
        <v>20</v>
      </c>
      <c r="Q15" s="35">
        <f>IF(Match!$G26="","",Match!$G26)</f>
        <v>16</v>
      </c>
      <c r="R15" s="63">
        <f>IF(Match!$H26="","",Match!$H26)</f>
        <v>4</v>
      </c>
      <c r="S15" s="63">
        <f>Match!I26</f>
        <v>0</v>
      </c>
      <c r="T15" s="63">
        <f>Match!J26</f>
        <v>4.16</v>
      </c>
      <c r="U15" s="35">
        <f>IF(Match!$K26="","",Match!$K26)</f>
        <v>1</v>
      </c>
    </row>
    <row r="16" spans="1:27" x14ac:dyDescent="0.3">
      <c r="B16" s="40">
        <f t="shared" si="0"/>
        <v>5</v>
      </c>
      <c r="C16" s="41" t="str">
        <f t="shared" ca="1" si="1"/>
        <v>BLANCHARD THIERRY</v>
      </c>
      <c r="D16" s="42">
        <f t="shared" ca="1" si="2"/>
        <v>214</v>
      </c>
      <c r="E16" s="42">
        <f t="shared" ca="1" si="3"/>
        <v>82</v>
      </c>
      <c r="F16" s="42">
        <f t="shared" ca="1" si="4"/>
        <v>20</v>
      </c>
      <c r="G16" s="43">
        <f t="shared" ca="1" si="5"/>
        <v>0</v>
      </c>
      <c r="H16" s="43">
        <f t="shared" ca="1" si="6"/>
        <v>2.6097560975609757</v>
      </c>
      <c r="I16" s="44">
        <f t="shared" ca="1" si="7"/>
        <v>2</v>
      </c>
      <c r="L16" s="366"/>
      <c r="M16" s="193" t="str">
        <f>Match!C27</f>
        <v>LACHOQUE DANIEL</v>
      </c>
      <c r="N16" s="365"/>
      <c r="O16" s="35">
        <f>IF(Match!$E27="","",Match!$E27)</f>
        <v>80</v>
      </c>
      <c r="P16" s="35">
        <f>IF(Match!$F27="","",Match!$F27)</f>
        <v>20</v>
      </c>
      <c r="Q16" s="35">
        <f>IF(Match!$G27="","",Match!$G27)</f>
        <v>19</v>
      </c>
      <c r="R16" s="63">
        <f>IF(Match!$H27="","",Match!$H27)</f>
        <v>4</v>
      </c>
      <c r="S16" s="167">
        <f>Match!I27</f>
        <v>0</v>
      </c>
      <c r="T16" s="63">
        <f>Match!J27</f>
        <v>4.1900000000000004</v>
      </c>
      <c r="U16" s="35">
        <f>IF(Match!$K27="","",Match!$K27)</f>
        <v>1</v>
      </c>
    </row>
    <row r="17" spans="2:23" x14ac:dyDescent="0.3">
      <c r="B17" s="40">
        <f t="shared" si="0"/>
        <v>6</v>
      </c>
      <c r="C17" s="41" t="str">
        <f t="shared" si="1"/>
        <v/>
      </c>
      <c r="D17" s="42" t="str">
        <f t="shared" si="2"/>
        <v/>
      </c>
      <c r="E17" s="42" t="str">
        <f t="shared" si="3"/>
        <v/>
      </c>
      <c r="F17" s="42" t="str">
        <f t="shared" si="4"/>
        <v/>
      </c>
      <c r="G17" s="43" t="str">
        <f t="shared" si="5"/>
        <v/>
      </c>
      <c r="H17" s="43" t="str">
        <f t="shared" si="6"/>
        <v/>
      </c>
      <c r="I17" s="44" t="str">
        <f t="shared" si="7"/>
        <v/>
      </c>
      <c r="M17" s="195"/>
      <c r="N17" s="21"/>
      <c r="O17" s="21"/>
      <c r="P17" s="21"/>
      <c r="Q17" s="21"/>
      <c r="R17" s="45"/>
      <c r="S17" s="46"/>
      <c r="T17" s="3"/>
      <c r="U17" s="4"/>
    </row>
    <row r="18" spans="2:23" x14ac:dyDescent="0.3">
      <c r="B18" s="40">
        <v>7</v>
      </c>
      <c r="C18" s="41" t="str">
        <f t="shared" si="1"/>
        <v/>
      </c>
      <c r="D18" s="42" t="str">
        <f t="shared" si="2"/>
        <v/>
      </c>
      <c r="E18" s="42" t="str">
        <f t="shared" si="3"/>
        <v/>
      </c>
      <c r="F18" s="42" t="str">
        <f t="shared" si="4"/>
        <v/>
      </c>
      <c r="G18" s="43" t="str">
        <f t="shared" si="5"/>
        <v/>
      </c>
      <c r="H18" s="43" t="str">
        <f t="shared" si="6"/>
        <v/>
      </c>
      <c r="I18" s="44" t="str">
        <f t="shared" ref="I18:I19" si="8">IF($E64="","",$F78)</f>
        <v/>
      </c>
      <c r="L18" s="366" t="str">
        <f>Match!C29</f>
        <v>Tour n°4</v>
      </c>
      <c r="M18" s="193" t="str">
        <f>Match!C31</f>
        <v>HENWOOD PHILIPPE</v>
      </c>
      <c r="N18" s="364">
        <f>Match!D31</f>
        <v>80</v>
      </c>
      <c r="O18" s="35">
        <f>IF(Match!$E31="","",Match!$E31)</f>
        <v>59</v>
      </c>
      <c r="P18" s="35">
        <f>IF(Match!$F31="","",Match!$F31)</f>
        <v>22</v>
      </c>
      <c r="Q18" s="35">
        <f>IF(Match!$G31="","",Match!$G31)</f>
        <v>12</v>
      </c>
      <c r="R18" s="35">
        <f>IF(Match!$H31="","",Match!$H31)</f>
        <v>2.6818181818181817</v>
      </c>
      <c r="S18" s="63">
        <f>Match!I31</f>
        <v>0</v>
      </c>
      <c r="T18" s="63">
        <f>Match!J31</f>
        <v>2.8018181818181818</v>
      </c>
      <c r="U18" s="35">
        <f>IF(Match!$K31="","",Match!$K31)</f>
        <v>0</v>
      </c>
    </row>
    <row r="19" spans="2:23" ht="14.4" thickBot="1" x14ac:dyDescent="0.35">
      <c r="B19" s="47">
        <v>8</v>
      </c>
      <c r="C19" s="48" t="str">
        <f t="shared" si="1"/>
        <v/>
      </c>
      <c r="D19" s="49" t="str">
        <f t="shared" si="2"/>
        <v/>
      </c>
      <c r="E19" s="49" t="str">
        <f t="shared" si="3"/>
        <v/>
      </c>
      <c r="F19" s="49" t="str">
        <f t="shared" si="4"/>
        <v/>
      </c>
      <c r="G19" s="50" t="str">
        <f t="shared" si="5"/>
        <v/>
      </c>
      <c r="H19" s="50" t="str">
        <f t="shared" si="6"/>
        <v/>
      </c>
      <c r="I19" s="51" t="str">
        <f t="shared" si="8"/>
        <v/>
      </c>
      <c r="L19" s="366"/>
      <c r="M19" s="193" t="str">
        <f>Match!C32</f>
        <v>CREDOT GERALD</v>
      </c>
      <c r="N19" s="365"/>
      <c r="O19" s="35">
        <f>IF(Match!$E32="","",Match!$E32)</f>
        <v>80</v>
      </c>
      <c r="P19" s="35">
        <f>IF(Match!$F32="","",Match!$F32)</f>
        <v>22</v>
      </c>
      <c r="Q19" s="35">
        <f>IF(Match!$G32="","",Match!$G32)</f>
        <v>17</v>
      </c>
      <c r="R19" s="35">
        <f>IF(Match!$H32="","",Match!$H32)</f>
        <v>3.6363636363636362</v>
      </c>
      <c r="S19" s="167">
        <f>Match!I32</f>
        <v>0</v>
      </c>
      <c r="T19" s="63">
        <f>Match!J32</f>
        <v>3.8063636363636362</v>
      </c>
      <c r="U19" s="35">
        <f>IF(Match!$K32="","",Match!$K32)</f>
        <v>2</v>
      </c>
    </row>
    <row r="20" spans="2:23" x14ac:dyDescent="0.3">
      <c r="L20" s="366"/>
      <c r="M20" s="193" t="str">
        <f>Match!C34</f>
        <v>CASTANER GEORGES</v>
      </c>
      <c r="N20" s="364">
        <f>Match!D34</f>
        <v>80</v>
      </c>
      <c r="O20" s="35">
        <f>IF(Match!$E34="","",Match!$E34)</f>
        <v>80</v>
      </c>
      <c r="P20" s="35">
        <f>IF(Match!$F34="","",Match!$F34)</f>
        <v>25</v>
      </c>
      <c r="Q20" s="35">
        <f>IF(Match!$G34="","",Match!$G34)</f>
        <v>11</v>
      </c>
      <c r="R20" s="35">
        <f>IF(Match!$H34="","",Match!$H34)</f>
        <v>3.2</v>
      </c>
      <c r="S20" s="63">
        <f>Match!I34</f>
        <v>0</v>
      </c>
      <c r="T20" s="63">
        <f>Match!J34</f>
        <v>3.31</v>
      </c>
      <c r="U20" s="35">
        <f>IF(Match!$K34="","",Match!$K34)</f>
        <v>2</v>
      </c>
    </row>
    <row r="21" spans="2:23" ht="14.4" thickBot="1" x14ac:dyDescent="0.35">
      <c r="L21" s="366"/>
      <c r="M21" s="193" t="str">
        <f>Match!C35</f>
        <v>BLANCHARD THIERRY</v>
      </c>
      <c r="N21" s="365"/>
      <c r="O21" s="35">
        <f>IF(Match!$E35="","",Match!$E35)</f>
        <v>41</v>
      </c>
      <c r="P21" s="35">
        <f>IF(Match!$F35="","",Match!$F35)</f>
        <v>25</v>
      </c>
      <c r="Q21" s="35">
        <f>IF(Match!$G35="","",Match!$G35)</f>
        <v>6</v>
      </c>
      <c r="R21" s="35">
        <f>IF(Match!$H35="","",Match!$H35)</f>
        <v>1.64</v>
      </c>
      <c r="S21" s="167">
        <f>Match!I35</f>
        <v>0</v>
      </c>
      <c r="T21" s="63">
        <f>Match!J35</f>
        <v>1.7</v>
      </c>
      <c r="U21" s="35">
        <f>IF(Match!$K35="","",Match!$K35)</f>
        <v>0</v>
      </c>
    </row>
    <row r="22" spans="2:23" x14ac:dyDescent="0.3">
      <c r="B22" s="27" t="s">
        <v>330</v>
      </c>
      <c r="C22" s="52"/>
      <c r="D22" s="52"/>
      <c r="E22" s="52"/>
      <c r="F22" s="52"/>
      <c r="G22" s="52"/>
      <c r="H22" s="52"/>
      <c r="I22" s="53"/>
      <c r="N22" s="36"/>
    </row>
    <row r="23" spans="2:23" x14ac:dyDescent="0.3">
      <c r="B23" s="370"/>
      <c r="C23" s="371"/>
      <c r="D23" s="371"/>
      <c r="E23" s="371"/>
      <c r="F23" s="371"/>
      <c r="G23" s="371"/>
      <c r="H23" s="371"/>
      <c r="I23" s="372"/>
      <c r="L23" s="366" t="str">
        <f>Match!O3</f>
        <v>Tour5</v>
      </c>
      <c r="M23" s="193" t="str">
        <f>Match!O6</f>
        <v>HENWOOD PHILIPPE</v>
      </c>
      <c r="N23" s="364">
        <f>Match!P6</f>
        <v>80</v>
      </c>
      <c r="O23" s="35">
        <f>IF(Match!$Q6="","",Match!$Q6)</f>
        <v>80</v>
      </c>
      <c r="P23" s="35">
        <f>IF(Match!$R6="","",Match!$R6)</f>
        <v>8</v>
      </c>
      <c r="Q23" s="35">
        <f>IF(Match!$S6="","",Match!$S6)</f>
        <v>27</v>
      </c>
      <c r="R23" s="35">
        <f>IF(Match!$T6="","",Match!$T6)</f>
        <v>10</v>
      </c>
      <c r="S23" s="35">
        <f>Match!I36</f>
        <v>0</v>
      </c>
      <c r="T23" s="35">
        <f>Match!J36</f>
        <v>0</v>
      </c>
      <c r="U23" s="35">
        <f>IF(Match!$X6="","",Match!$X6)</f>
        <v>2</v>
      </c>
    </row>
    <row r="24" spans="2:23" x14ac:dyDescent="0.3">
      <c r="B24" s="370"/>
      <c r="C24" s="371"/>
      <c r="D24" s="371"/>
      <c r="E24" s="371"/>
      <c r="F24" s="371"/>
      <c r="G24" s="371"/>
      <c r="H24" s="371"/>
      <c r="I24" s="372"/>
      <c r="L24" s="366"/>
      <c r="M24" s="193" t="str">
        <f>Match!O7</f>
        <v>CASTANER GEORGES</v>
      </c>
      <c r="N24" s="365"/>
      <c r="O24" s="35">
        <f>IF(Match!$Q7="","",Match!$Q7)</f>
        <v>38</v>
      </c>
      <c r="P24" s="35">
        <f>IF(Match!$R7="","",Match!$R7)</f>
        <v>8</v>
      </c>
      <c r="Q24" s="35">
        <f>IF(Match!$S7="","",Match!$S7)</f>
        <v>11</v>
      </c>
      <c r="R24" s="35">
        <f>IF(Match!$T7="","",Match!$T7)</f>
        <v>4.75</v>
      </c>
      <c r="S24" s="35">
        <f>Match!I37</f>
        <v>0</v>
      </c>
      <c r="T24" s="35">
        <f>Match!J37</f>
        <v>0</v>
      </c>
      <c r="U24" s="35">
        <f>IF(Match!$X7="","",Match!$X7)</f>
        <v>0</v>
      </c>
      <c r="W24" s="54"/>
    </row>
    <row r="25" spans="2:23" x14ac:dyDescent="0.3">
      <c r="B25" s="370"/>
      <c r="C25" s="371"/>
      <c r="D25" s="371"/>
      <c r="E25" s="371"/>
      <c r="F25" s="371"/>
      <c r="G25" s="371"/>
      <c r="H25" s="371"/>
      <c r="I25" s="372"/>
      <c r="L25" s="366"/>
      <c r="M25" s="193" t="str">
        <f>Match!O9</f>
        <v>BLANCHARD THIERRY</v>
      </c>
      <c r="N25" s="364">
        <f>Match!P9</f>
        <v>80</v>
      </c>
      <c r="O25" s="35">
        <f>IF(Match!$Q9="","",Match!$Q9)</f>
        <v>80</v>
      </c>
      <c r="P25" s="35">
        <f>IF(Match!$R9="","",Match!$R9)</f>
        <v>20</v>
      </c>
      <c r="Q25" s="35">
        <f>IF(Match!$S9="","",Match!$S9)</f>
        <v>20</v>
      </c>
      <c r="R25" s="35">
        <f>IF(Match!$T9="","",Match!$T9)</f>
        <v>4</v>
      </c>
      <c r="S25" s="35">
        <f>Match!I39</f>
        <v>0</v>
      </c>
      <c r="T25" s="35">
        <f>Match!J39</f>
        <v>0</v>
      </c>
      <c r="U25" s="35">
        <f>IF(Match!$X9="","",Match!$X9)</f>
        <v>2</v>
      </c>
    </row>
    <row r="26" spans="2:23" ht="14.4" thickBot="1" x14ac:dyDescent="0.35">
      <c r="B26" s="373"/>
      <c r="C26" s="374"/>
      <c r="D26" s="374"/>
      <c r="E26" s="374"/>
      <c r="F26" s="374"/>
      <c r="G26" s="374"/>
      <c r="H26" s="374"/>
      <c r="I26" s="375"/>
      <c r="L26" s="366"/>
      <c r="M26" s="193" t="str">
        <f>Match!O10</f>
        <v>LACHOQUE DANIEL</v>
      </c>
      <c r="N26" s="365"/>
      <c r="O26" s="35">
        <f>IF(Match!$Q10="","",Match!$Q10)</f>
        <v>55</v>
      </c>
      <c r="P26" s="35">
        <f>IF(Match!$R10="","",Match!$R10)</f>
        <v>20</v>
      </c>
      <c r="Q26" s="35">
        <f>IF(Match!$S10="","",Match!$S10)</f>
        <v>11</v>
      </c>
      <c r="R26" s="35">
        <f>IF(Match!$T10="","",Match!$T10)</f>
        <v>2.75</v>
      </c>
      <c r="S26" s="35">
        <f>Match!I40</f>
        <v>0</v>
      </c>
      <c r="T26" s="35">
        <f>Match!J40</f>
        <v>0</v>
      </c>
      <c r="U26" s="35">
        <f>IF(Match!$X10="","",Match!$X10)</f>
        <v>0</v>
      </c>
    </row>
    <row r="27" spans="2:23" x14ac:dyDescent="0.3">
      <c r="M27" s="194"/>
      <c r="N27" s="21"/>
      <c r="O27" s="19"/>
      <c r="P27" s="19"/>
      <c r="Q27" s="19"/>
      <c r="R27" s="19"/>
      <c r="S27" s="19"/>
      <c r="T27" s="19"/>
      <c r="U27" s="19"/>
    </row>
    <row r="28" spans="2:23" x14ac:dyDescent="0.3">
      <c r="L28" s="366" t="str">
        <f>Match!O12</f>
        <v>_</v>
      </c>
      <c r="M28" s="193" t="str">
        <f>Match!O14</f>
        <v xml:space="preserve"> </v>
      </c>
      <c r="N28" s="364">
        <f>Match!P14</f>
        <v>80</v>
      </c>
      <c r="O28" s="35" t="str">
        <f>IF(Match!$Q14="","",Match!$Q14)</f>
        <v/>
      </c>
      <c r="P28" s="35" t="str">
        <f>IF(Match!$R14="","",Match!$R14)</f>
        <v/>
      </c>
      <c r="Q28" s="35" t="str">
        <f>IF(Match!$S14="","",Match!$S14)</f>
        <v/>
      </c>
      <c r="R28" s="63" t="str">
        <f>IF(Match!$T14="","",Match!$T14)</f>
        <v/>
      </c>
      <c r="S28" s="35">
        <f>Match!I42</f>
        <v>0</v>
      </c>
      <c r="T28" s="35">
        <f>Match!J42</f>
        <v>0</v>
      </c>
      <c r="U28" s="35" t="str">
        <f>IF(Match!$X14="","",Match!$X14)</f>
        <v/>
      </c>
    </row>
    <row r="29" spans="2:23" x14ac:dyDescent="0.3">
      <c r="L29" s="366"/>
      <c r="M29" s="193" t="str">
        <f>Match!O15</f>
        <v xml:space="preserve"> </v>
      </c>
      <c r="N29" s="365"/>
      <c r="O29" s="35" t="str">
        <f>IF(Match!$Q15="","",Match!$Q15)</f>
        <v/>
      </c>
      <c r="P29" s="35" t="str">
        <f>IF(Match!$R15="","",Match!$R15)</f>
        <v/>
      </c>
      <c r="Q29" s="35" t="str">
        <f>IF(Match!$S15="","",Match!$S15)</f>
        <v/>
      </c>
      <c r="R29" s="63" t="str">
        <f>IF(Match!$T15="","",Match!$T15)</f>
        <v/>
      </c>
      <c r="S29" s="35">
        <f>Match!I43</f>
        <v>0</v>
      </c>
      <c r="T29" s="35">
        <f>Match!J43</f>
        <v>0</v>
      </c>
      <c r="U29" s="35" t="str">
        <f>IF(Match!$X15="","",Match!$X15)</f>
        <v/>
      </c>
      <c r="V29" s="55"/>
      <c r="W29" s="56"/>
    </row>
    <row r="30" spans="2:23" x14ac:dyDescent="0.3">
      <c r="L30" s="366"/>
      <c r="M30" s="193" t="str">
        <f>Match!O17</f>
        <v xml:space="preserve"> </v>
      </c>
      <c r="N30" s="364">
        <f>Match!P17</f>
        <v>80</v>
      </c>
      <c r="O30" s="35" t="str">
        <f>IF(Match!$Q17="","",Match!$Q17)</f>
        <v/>
      </c>
      <c r="P30" s="35" t="str">
        <f>IF(Match!$R17="","",Match!$R17)</f>
        <v/>
      </c>
      <c r="Q30" s="35" t="str">
        <f>IF(Match!$S17="","",Match!$S17)</f>
        <v/>
      </c>
      <c r="R30" s="63" t="str">
        <f>IF(Match!$T17="","",Match!$T17)</f>
        <v/>
      </c>
      <c r="S30" s="35">
        <f>Match!I44</f>
        <v>0</v>
      </c>
      <c r="T30" s="35">
        <f>Match!J44</f>
        <v>0</v>
      </c>
      <c r="U30" s="35" t="str">
        <f>IF(Match!$X17="","",Match!$X17)</f>
        <v/>
      </c>
    </row>
    <row r="31" spans="2:23" x14ac:dyDescent="0.3">
      <c r="L31" s="366"/>
      <c r="M31" s="193" t="str">
        <f>Match!O18</f>
        <v xml:space="preserve"> </v>
      </c>
      <c r="N31" s="365"/>
      <c r="O31" s="35" t="str">
        <f>IF(Match!$Q18="","",Match!$Q18)</f>
        <v/>
      </c>
      <c r="P31" s="35" t="str">
        <f>IF(Match!$R18="","",Match!$R18)</f>
        <v/>
      </c>
      <c r="Q31" s="35" t="str">
        <f>IF(Match!$S18="","",Match!$S18)</f>
        <v/>
      </c>
      <c r="R31" s="63" t="str">
        <f>IF(Match!$T18="","",Match!$T18)</f>
        <v/>
      </c>
      <c r="S31" s="35">
        <f>Match!I45</f>
        <v>0</v>
      </c>
      <c r="T31" s="35">
        <f>Match!J45</f>
        <v>0</v>
      </c>
      <c r="U31" s="35" t="str">
        <f>IF(Match!$X18="","",Match!$X18)</f>
        <v/>
      </c>
    </row>
    <row r="32" spans="2:23" x14ac:dyDescent="0.3">
      <c r="N32" s="36"/>
    </row>
    <row r="34" spans="13:21" x14ac:dyDescent="0.3">
      <c r="M34" s="368" t="str">
        <f>Match!M21</f>
        <v>_</v>
      </c>
      <c r="N34" s="368"/>
      <c r="O34" s="368"/>
      <c r="P34" s="368"/>
      <c r="Q34" s="368"/>
      <c r="R34" s="368"/>
      <c r="S34" s="368"/>
      <c r="T34" s="368"/>
      <c r="U34" s="368"/>
    </row>
    <row r="35" spans="13:21" x14ac:dyDescent="0.3">
      <c r="M35" s="193" t="str">
        <f>Match!O23</f>
        <v xml:space="preserve"> </v>
      </c>
      <c r="N35" s="364">
        <f>Match!P23</f>
        <v>80</v>
      </c>
      <c r="O35" s="35" t="str">
        <f>IF(Match!$Q23="","",Match!$Q23)</f>
        <v/>
      </c>
      <c r="P35" s="35" t="str">
        <f>IF(Match!$R23="","",Match!$R23)</f>
        <v/>
      </c>
      <c r="Q35" s="35" t="str">
        <f>IF(Match!$S23="","",Match!$S23)</f>
        <v/>
      </c>
      <c r="R35" s="63" t="str">
        <f>IF(Match!$T23="","",Match!$T23)</f>
        <v/>
      </c>
      <c r="S35" s="35">
        <f>Match!I49</f>
        <v>0</v>
      </c>
      <c r="T35" s="35">
        <f>Match!J49</f>
        <v>0</v>
      </c>
      <c r="U35" s="35" t="str">
        <f>IF(Match!$X23="","",Match!$X23)</f>
        <v/>
      </c>
    </row>
    <row r="36" spans="13:21" ht="15.75" customHeight="1" x14ac:dyDescent="0.3">
      <c r="M36" s="193" t="str">
        <f>Match!O24</f>
        <v xml:space="preserve"> </v>
      </c>
      <c r="N36" s="365"/>
      <c r="O36" s="35" t="str">
        <f>IF(Match!$Q24="","",Match!$Q24)</f>
        <v/>
      </c>
      <c r="P36" s="35" t="str">
        <f>IF(Match!$R24="","",Match!$R24)</f>
        <v/>
      </c>
      <c r="Q36" s="35" t="str">
        <f>IF(Match!$S24="","",Match!$S24)</f>
        <v/>
      </c>
      <c r="R36" s="63" t="str">
        <f>IF(Match!$T24="","",Match!$T24)</f>
        <v/>
      </c>
      <c r="S36" s="35">
        <f>Match!I50</f>
        <v>0</v>
      </c>
      <c r="T36" s="35">
        <f>Match!J50</f>
        <v>0</v>
      </c>
      <c r="U36" s="35" t="str">
        <f>IF(Match!$X24="","",Match!$X24)</f>
        <v/>
      </c>
    </row>
    <row r="37" spans="13:21" x14ac:dyDescent="0.3">
      <c r="M37" s="168" t="str">
        <f>Match!M26</f>
        <v>_</v>
      </c>
      <c r="N37" s="54"/>
      <c r="O37" s="54"/>
      <c r="P37" s="54"/>
      <c r="Q37" s="54"/>
      <c r="R37" s="54"/>
      <c r="S37" s="54"/>
      <c r="T37" s="54"/>
      <c r="U37" s="54"/>
    </row>
    <row r="38" spans="13:21" x14ac:dyDescent="0.3">
      <c r="M38" s="193" t="str">
        <f>Match!O28</f>
        <v xml:space="preserve"> </v>
      </c>
      <c r="N38" s="367">
        <f>Match!P28</f>
        <v>80</v>
      </c>
      <c r="O38" s="35" t="str">
        <f>IF(Match!$Q28="","",Match!$Q28)</f>
        <v/>
      </c>
      <c r="P38" s="35" t="str">
        <f>IF(Match!$R28="","",Match!$R28)</f>
        <v/>
      </c>
      <c r="Q38" s="35" t="str">
        <f>IF(Match!$S28="","",Match!$S28)</f>
        <v/>
      </c>
      <c r="R38" s="35" t="str">
        <f>IF(Match!$T28="","",Match!$T28)</f>
        <v/>
      </c>
      <c r="S38" s="35">
        <f>Match!I52</f>
        <v>0</v>
      </c>
      <c r="T38" s="35">
        <f>Match!J52</f>
        <v>0</v>
      </c>
      <c r="U38" s="35" t="str">
        <f>IF(Match!$X28="","",Match!$X28)</f>
        <v/>
      </c>
    </row>
    <row r="39" spans="13:21" x14ac:dyDescent="0.3">
      <c r="M39" s="193" t="str">
        <f>Match!O29</f>
        <v xml:space="preserve"> </v>
      </c>
      <c r="N39" s="367"/>
      <c r="O39" s="35" t="str">
        <f>IF(Match!$Q29="","",Match!$Q29)</f>
        <v/>
      </c>
      <c r="P39" s="35" t="str">
        <f>IF(Match!$R29="","",Match!$R29)</f>
        <v/>
      </c>
      <c r="Q39" s="35" t="str">
        <f>IF(Match!$S29="","",Match!$S29)</f>
        <v/>
      </c>
      <c r="R39" s="35" t="str">
        <f>IF(Match!$T29="","",Match!$T29)</f>
        <v/>
      </c>
      <c r="S39" s="35">
        <f>Match!I53</f>
        <v>0</v>
      </c>
      <c r="T39" s="35">
        <f>Match!J53</f>
        <v>0</v>
      </c>
      <c r="U39" s="35" t="str">
        <f>IF(Match!$X29="","",Match!$X29)</f>
        <v/>
      </c>
    </row>
    <row r="42" spans="13:21" x14ac:dyDescent="0.3">
      <c r="M42" s="368" t="str">
        <f>Match!M33</f>
        <v>_</v>
      </c>
      <c r="N42" s="368"/>
      <c r="O42" s="368"/>
      <c r="P42" s="368"/>
      <c r="Q42" s="368"/>
      <c r="R42" s="368"/>
      <c r="S42" s="368"/>
      <c r="T42" s="368"/>
      <c r="U42" s="368"/>
    </row>
    <row r="43" spans="13:21" x14ac:dyDescent="0.3">
      <c r="M43" s="196" t="str">
        <f>Match!O35</f>
        <v xml:space="preserve"> </v>
      </c>
      <c r="N43" s="367">
        <f>Match!P35</f>
        <v>80</v>
      </c>
      <c r="O43" s="57" t="str">
        <f>IF(Match!$Q35="","",Match!$Q35)</f>
        <v/>
      </c>
      <c r="P43" s="57" t="str">
        <f>IF(Match!$R35="","",Match!$R35)</f>
        <v/>
      </c>
      <c r="Q43" s="57" t="str">
        <f>IF(Match!$S35="","",Match!$S35)</f>
        <v/>
      </c>
      <c r="R43" s="57" t="str">
        <f>IF(Match!$T35="","",Match!$T35)</f>
        <v/>
      </c>
      <c r="S43" s="57">
        <f>Match!I57</f>
        <v>0</v>
      </c>
      <c r="T43" s="57">
        <f>Match!J57</f>
        <v>0</v>
      </c>
      <c r="U43" s="57" t="str">
        <f>IF(Match!$X35="","",Match!$X35)</f>
        <v/>
      </c>
    </row>
    <row r="44" spans="13:21" x14ac:dyDescent="0.3">
      <c r="M44" s="196" t="str">
        <f>Match!O36</f>
        <v xml:space="preserve"> </v>
      </c>
      <c r="N44" s="367"/>
      <c r="O44" s="57" t="str">
        <f>IF(Match!$Q36="","",Match!$Q36)</f>
        <v/>
      </c>
      <c r="P44" s="57" t="str">
        <f>IF(Match!$R36="","",Match!$R36)</f>
        <v/>
      </c>
      <c r="Q44" s="57" t="str">
        <f>IF(Match!$S36="","",Match!$S36)</f>
        <v/>
      </c>
      <c r="R44" s="57" t="str">
        <f>IF(Match!$T36="","",Match!$T36)</f>
        <v/>
      </c>
      <c r="S44" s="57">
        <f>Match!I58</f>
        <v>0</v>
      </c>
      <c r="T44" s="57">
        <f>Match!J58</f>
        <v>0</v>
      </c>
      <c r="U44" s="57" t="str">
        <f>IF(Match!$X36="","",Match!$X36)</f>
        <v/>
      </c>
    </row>
    <row r="58" spans="2:9" x14ac:dyDescent="0.3">
      <c r="C58" s="2" t="str">
        <f t="shared" ref="C58:I58" ca="1" si="9">IF(ISERROR(C72),"-",C72)</f>
        <v>CREDOT GERALD</v>
      </c>
      <c r="D58" s="2">
        <f t="shared" ca="1" si="9"/>
        <v>320</v>
      </c>
      <c r="E58" s="2">
        <f t="shared" ca="1" si="9"/>
        <v>86</v>
      </c>
      <c r="F58" s="2">
        <f t="shared" ca="1" si="9"/>
        <v>7</v>
      </c>
      <c r="G58" s="62">
        <f t="shared" ca="1" si="9"/>
        <v>3.7209302325581395</v>
      </c>
      <c r="H58" s="62">
        <f t="shared" ca="1" si="9"/>
        <v>4</v>
      </c>
      <c r="I58" s="2">
        <f t="shared" ca="1" si="9"/>
        <v>17</v>
      </c>
    </row>
    <row r="59" spans="2:9" x14ac:dyDescent="0.3">
      <c r="C59" s="2" t="str">
        <f t="shared" ref="C59:I59" ca="1" si="10">IF(ISERROR(C73),"-",C73)</f>
        <v>HENWOOD PHILIPPE</v>
      </c>
      <c r="D59" s="2">
        <f t="shared" ca="1" si="10"/>
        <v>264</v>
      </c>
      <c r="E59" s="2">
        <f t="shared" ca="1" si="10"/>
        <v>53</v>
      </c>
      <c r="F59" s="2">
        <f t="shared" ca="1" si="10"/>
        <v>4</v>
      </c>
      <c r="G59" s="62">
        <f t="shared" ca="1" si="10"/>
        <v>4.9811320754716979</v>
      </c>
      <c r="H59" s="62">
        <f t="shared" ca="1" si="10"/>
        <v>5.7142857142857144</v>
      </c>
      <c r="I59" s="2">
        <f t="shared" ca="1" si="10"/>
        <v>27</v>
      </c>
    </row>
    <row r="60" spans="2:9" x14ac:dyDescent="0.3">
      <c r="B60" s="62">
        <f ca="1">RANK(G60,$G$60:$G$61)+2</f>
        <v>4</v>
      </c>
      <c r="C60" s="2" t="str">
        <f ca="1">IF(ISERROR(C74),"-",C74)</f>
        <v>CASTANER GEORGES</v>
      </c>
      <c r="D60" s="2">
        <f t="shared" ref="D60:I60" ca="1" si="11">IF(ISERROR(D74),"-",D74)</f>
        <v>246</v>
      </c>
      <c r="E60" s="2">
        <f t="shared" ca="1" si="11"/>
        <v>78</v>
      </c>
      <c r="F60" s="2">
        <f t="shared" ca="1" si="11"/>
        <v>4</v>
      </c>
      <c r="G60" s="62">
        <f t="shared" ca="1" si="11"/>
        <v>3.1538461538461537</v>
      </c>
      <c r="H60" s="62">
        <f t="shared" ca="1" si="11"/>
        <v>3.3333333333333335</v>
      </c>
      <c r="I60" s="2">
        <f t="shared" ca="1" si="11"/>
        <v>22</v>
      </c>
    </row>
    <row r="61" spans="2:9" x14ac:dyDescent="0.3">
      <c r="B61" s="62">
        <f ca="1">RANK(G61,$G$60:$G$61)+2</f>
        <v>3</v>
      </c>
      <c r="C61" s="2" t="str">
        <f t="shared" ref="C61:I61" ca="1" si="12">IF(ISERROR(C75),"-",C75)</f>
        <v>LACHOQUE DANIEL</v>
      </c>
      <c r="D61" s="2">
        <f t="shared" ca="1" si="12"/>
        <v>256</v>
      </c>
      <c r="E61" s="2">
        <f t="shared" ca="1" si="12"/>
        <v>73</v>
      </c>
      <c r="F61" s="2">
        <f t="shared" ca="1" si="12"/>
        <v>3</v>
      </c>
      <c r="G61" s="62">
        <f t="shared" ca="1" si="12"/>
        <v>3.506849315068493</v>
      </c>
      <c r="H61" s="62">
        <f t="shared" ca="1" si="12"/>
        <v>8.8888888888888893</v>
      </c>
      <c r="I61" s="2">
        <f t="shared" ca="1" si="12"/>
        <v>19</v>
      </c>
    </row>
    <row r="62" spans="2:9" x14ac:dyDescent="0.3">
      <c r="C62" s="2" t="str">
        <f t="shared" ref="C62:I62" ca="1" si="13">IF(ISERROR(C76),"-",C76)</f>
        <v>BLANCHARD THIERRY</v>
      </c>
      <c r="D62" s="2">
        <f t="shared" ca="1" si="13"/>
        <v>214</v>
      </c>
      <c r="E62" s="2">
        <f t="shared" ca="1" si="13"/>
        <v>82</v>
      </c>
      <c r="F62" s="2">
        <f t="shared" ca="1" si="13"/>
        <v>2</v>
      </c>
      <c r="G62" s="62">
        <f t="shared" ca="1" si="13"/>
        <v>2.6097560975609757</v>
      </c>
      <c r="H62" s="62">
        <f t="shared" ca="1" si="13"/>
        <v>0</v>
      </c>
      <c r="I62" s="2">
        <f t="shared" ca="1" si="13"/>
        <v>20</v>
      </c>
    </row>
    <row r="63" spans="2:9" x14ac:dyDescent="0.3">
      <c r="G63" s="62"/>
      <c r="H63" s="62"/>
    </row>
    <row r="64" spans="2:9" x14ac:dyDescent="0.3">
      <c r="B64" s="54"/>
    </row>
    <row r="65" spans="2:14" x14ac:dyDescent="0.3">
      <c r="N65" s="2" t="s">
        <v>27</v>
      </c>
    </row>
    <row r="72" spans="2:14" x14ac:dyDescent="0.3">
      <c r="B72" s="59">
        <v>1</v>
      </c>
      <c r="C72" s="58" t="str">
        <f ca="1">VLOOKUP($B72,Match!$A$91:$H$105,3,FALSE)</f>
        <v>CREDOT GERALD</v>
      </c>
      <c r="D72" s="58">
        <f ca="1">VLOOKUP($B72,Match!$A$91:$H$105,4,FALSE)</f>
        <v>320</v>
      </c>
      <c r="E72" s="58">
        <f ca="1">VLOOKUP($B72,Match!$A$91:$H$105,5,FALSE)</f>
        <v>86</v>
      </c>
      <c r="F72" s="58">
        <f ca="1">VLOOKUP($B72,Match!$A$91:$H$105,6,FALSE)</f>
        <v>7</v>
      </c>
      <c r="G72" s="61">
        <f ca="1">IF(D72="","",D72/E72)</f>
        <v>3.7209302325581395</v>
      </c>
      <c r="H72" s="61">
        <f ca="1">VLOOKUP($C72,Match!$AF$111:$AJ$115,4,FALSE)</f>
        <v>4</v>
      </c>
      <c r="I72" s="58">
        <f ca="1">VLOOKUP($C72,Match!$AF$111:$AJ$115,5,FALSE)</f>
        <v>17</v>
      </c>
    </row>
    <row r="73" spans="2:14" x14ac:dyDescent="0.3">
      <c r="B73" s="59">
        <v>2</v>
      </c>
      <c r="C73" s="58" t="str">
        <f ca="1">VLOOKUP($B73,Match!$A$91:$H$105,3,FALSE)</f>
        <v>HENWOOD PHILIPPE</v>
      </c>
      <c r="D73" s="58">
        <f ca="1">VLOOKUP($B73,Match!$A$91:$H$105,4,FALSE)</f>
        <v>264</v>
      </c>
      <c r="E73" s="58">
        <f ca="1">VLOOKUP($B73,Match!$A$91:$H$105,5,FALSE)</f>
        <v>53</v>
      </c>
      <c r="F73" s="58">
        <f ca="1">VLOOKUP($B73,Match!$A$91:$H$105,6,FALSE)</f>
        <v>4</v>
      </c>
      <c r="G73" s="61">
        <f t="shared" ref="G73:G77" ca="1" si="14">IF(D73="","",D73/E73)</f>
        <v>4.9811320754716979</v>
      </c>
      <c r="H73" s="61">
        <f ca="1">VLOOKUP($C73,Match!$AF$111:$AJ$115,4,FALSE)</f>
        <v>5.7142857142857144</v>
      </c>
      <c r="I73" s="58">
        <f ca="1">VLOOKUP($C73,Match!$AF$111:$AJ$115,5,FALSE)</f>
        <v>27</v>
      </c>
    </row>
    <row r="74" spans="2:14" x14ac:dyDescent="0.3">
      <c r="B74" s="58">
        <v>3</v>
      </c>
      <c r="C74" s="58" t="str">
        <f ca="1">VLOOKUP($B74,Match!$A$91:$H$105,3,FALSE)</f>
        <v>CASTANER GEORGES</v>
      </c>
      <c r="D74" s="58">
        <f ca="1">VLOOKUP($B74,Match!$A$91:$H$105,4,FALSE)</f>
        <v>246</v>
      </c>
      <c r="E74" s="58">
        <f ca="1">VLOOKUP($B74,Match!$A$91:$H$105,5,FALSE)</f>
        <v>78</v>
      </c>
      <c r="F74" s="58">
        <f ca="1">VLOOKUP($B74,Match!$A$91:$H$105,6,FALSE)</f>
        <v>4</v>
      </c>
      <c r="G74" s="61">
        <f t="shared" ca="1" si="14"/>
        <v>3.1538461538461537</v>
      </c>
      <c r="H74" s="61">
        <f ca="1">VLOOKUP($C74,Match!$AF$111:$AJ$115,4,FALSE)</f>
        <v>3.3333333333333335</v>
      </c>
      <c r="I74" s="58">
        <f ca="1">VLOOKUP($C74,Match!$AF$111:$AJ$115,5,FALSE)</f>
        <v>22</v>
      </c>
    </row>
    <row r="75" spans="2:14" x14ac:dyDescent="0.3">
      <c r="B75" s="54">
        <v>4</v>
      </c>
      <c r="C75" s="58" t="str">
        <f ca="1">VLOOKUP($B75,Match!$A$91:$H$105,3,FALSE)</f>
        <v>LACHOQUE DANIEL</v>
      </c>
      <c r="D75" s="58">
        <f ca="1">VLOOKUP($B75,Match!$A$91:$H$105,4,FALSE)</f>
        <v>256</v>
      </c>
      <c r="E75" s="58">
        <f ca="1">VLOOKUP($B75,Match!$A$91:$H$105,5,FALSE)</f>
        <v>73</v>
      </c>
      <c r="F75" s="58">
        <f ca="1">VLOOKUP($B75,Match!$A$91:$H$105,6,FALSE)</f>
        <v>3</v>
      </c>
      <c r="G75" s="61">
        <f t="shared" ca="1" si="14"/>
        <v>3.506849315068493</v>
      </c>
      <c r="H75" s="61">
        <f ca="1">VLOOKUP($C75,Match!$AF$111:$AJ$115,4,FALSE)</f>
        <v>8.8888888888888893</v>
      </c>
      <c r="I75" s="58">
        <f ca="1">VLOOKUP($C75,Match!$AF$111:$AJ$115,5,FALSE)</f>
        <v>19</v>
      </c>
    </row>
    <row r="76" spans="2:14" x14ac:dyDescent="0.3">
      <c r="B76" s="60">
        <v>5</v>
      </c>
      <c r="C76" s="58" t="str">
        <f ca="1">VLOOKUP($B76,Match!$A$91:$H$105,3,FALSE)</f>
        <v>BLANCHARD THIERRY</v>
      </c>
      <c r="D76" s="58">
        <f ca="1">VLOOKUP($B76,Match!$A$91:$H$105,4,FALSE)</f>
        <v>214</v>
      </c>
      <c r="E76" s="58">
        <f ca="1">VLOOKUP($B76,Match!$A$91:$H$105,5,FALSE)</f>
        <v>82</v>
      </c>
      <c r="F76" s="58">
        <f ca="1">VLOOKUP($B76,Match!$A$91:$H$105,6,FALSE)</f>
        <v>2</v>
      </c>
      <c r="G76" s="61">
        <f t="shared" ca="1" si="14"/>
        <v>2.6097560975609757</v>
      </c>
      <c r="H76" s="61">
        <f ca="1">VLOOKUP($C76,Match!$AF$111:$AJ$115,4,FALSE)</f>
        <v>0</v>
      </c>
      <c r="I76" s="58">
        <f ca="1">VLOOKUP($C76,Match!$AF$111:$AJ$115,5,FALSE)</f>
        <v>20</v>
      </c>
    </row>
    <row r="77" spans="2:14" x14ac:dyDescent="0.3">
      <c r="B77" s="60">
        <v>6</v>
      </c>
      <c r="C77" s="58" t="e">
        <f ca="1">VLOOKUP($B77,Match!$A$91:$H$105,3,FALSE)</f>
        <v>#N/A</v>
      </c>
      <c r="D77" s="58" t="e">
        <f ca="1">VLOOKUP($B77,Match!$A$91:$H$105,4,FALSE)</f>
        <v>#N/A</v>
      </c>
      <c r="E77" s="58" t="e">
        <f ca="1">VLOOKUP($B77,Match!$A$91:$H$105,5,FALSE)</f>
        <v>#N/A</v>
      </c>
      <c r="F77" s="58" t="e">
        <f ca="1">VLOOKUP($B77,Match!$A$91:$H$105,6,FALSE)</f>
        <v>#N/A</v>
      </c>
      <c r="G77" s="61" t="e">
        <f t="shared" ca="1" si="14"/>
        <v>#N/A</v>
      </c>
      <c r="H77" s="61" t="e">
        <f ca="1">IF(C77="","",VLOOKUP($B77,Classementfinal,8,FALSE))</f>
        <v>#N/A</v>
      </c>
      <c r="I77" s="58" t="e">
        <f ca="1">IF(C77="","",VLOOKUP($B77,Classementfinal,7,FALSE))</f>
        <v>#N/A</v>
      </c>
    </row>
    <row r="78" spans="2:14" x14ac:dyDescent="0.3">
      <c r="B78" s="54"/>
      <c r="C78" s="58"/>
      <c r="D78" s="58"/>
      <c r="E78" s="58"/>
      <c r="F78" s="58"/>
      <c r="G78" s="58"/>
      <c r="H78" s="58"/>
      <c r="I78" s="58"/>
    </row>
    <row r="79" spans="2:14" x14ac:dyDescent="0.3">
      <c r="B79" s="54"/>
      <c r="C79" s="58"/>
      <c r="D79" s="58"/>
      <c r="E79" s="58"/>
      <c r="F79" s="58"/>
      <c r="G79" s="58"/>
      <c r="H79" s="58"/>
      <c r="I79" s="58"/>
    </row>
    <row r="80" spans="2:14" x14ac:dyDescent="0.3">
      <c r="B80" s="2">
        <f ca="1">RANK(H80,$H$80:$H$81)+2</f>
        <v>4</v>
      </c>
      <c r="C80" s="2" t="str">
        <f ca="1">+C74</f>
        <v>CASTANER GEORGES</v>
      </c>
      <c r="D80" s="2">
        <f t="shared" ref="D80:I80" ca="1" si="15">+D74</f>
        <v>246</v>
      </c>
      <c r="E80" s="2">
        <f t="shared" ca="1" si="15"/>
        <v>78</v>
      </c>
      <c r="F80" s="2">
        <f t="shared" ca="1" si="15"/>
        <v>4</v>
      </c>
      <c r="G80" s="2">
        <f t="shared" ca="1" si="15"/>
        <v>3.1538461538461537</v>
      </c>
      <c r="H80" s="2">
        <f t="shared" ca="1" si="15"/>
        <v>3.3333333333333335</v>
      </c>
      <c r="I80" s="2">
        <f t="shared" ca="1" si="15"/>
        <v>22</v>
      </c>
    </row>
    <row r="81" spans="2:9" x14ac:dyDescent="0.3">
      <c r="B81" s="2">
        <f ca="1">RANK(H81,$H$80:$H$81)+2</f>
        <v>3</v>
      </c>
      <c r="C81" s="2" t="str">
        <f ca="1">+C75</f>
        <v>LACHOQUE DANIEL</v>
      </c>
      <c r="D81" s="2">
        <f t="shared" ref="D81:I81" ca="1" si="16">+D75</f>
        <v>256</v>
      </c>
      <c r="E81" s="2">
        <f t="shared" ca="1" si="16"/>
        <v>73</v>
      </c>
      <c r="F81" s="2">
        <f t="shared" ca="1" si="16"/>
        <v>3</v>
      </c>
      <c r="G81" s="2">
        <f t="shared" ca="1" si="16"/>
        <v>3.506849315068493</v>
      </c>
      <c r="H81" s="2">
        <f t="shared" ca="1" si="16"/>
        <v>8.8888888888888893</v>
      </c>
      <c r="I81" s="2">
        <f t="shared" ca="1" si="16"/>
        <v>19</v>
      </c>
    </row>
  </sheetData>
  <sheetProtection selectLockedCells="1"/>
  <mergeCells count="34">
    <mergeCell ref="L8:L11"/>
    <mergeCell ref="N23:N24"/>
    <mergeCell ref="D7:F7"/>
    <mergeCell ref="L13:L16"/>
    <mergeCell ref="L28:L31"/>
    <mergeCell ref="B24:I24"/>
    <mergeCell ref="B25:I25"/>
    <mergeCell ref="B26:I26"/>
    <mergeCell ref="B23:I23"/>
    <mergeCell ref="L18:L21"/>
    <mergeCell ref="L23:L26"/>
    <mergeCell ref="N30:N31"/>
    <mergeCell ref="N8:N9"/>
    <mergeCell ref="N13:N14"/>
    <mergeCell ref="N15:N16"/>
    <mergeCell ref="N10:N11"/>
    <mergeCell ref="N43:N44"/>
    <mergeCell ref="N18:N19"/>
    <mergeCell ref="N20:N21"/>
    <mergeCell ref="N28:N29"/>
    <mergeCell ref="N25:N26"/>
    <mergeCell ref="M34:U34"/>
    <mergeCell ref="N35:N36"/>
    <mergeCell ref="N38:N39"/>
    <mergeCell ref="M42:U42"/>
    <mergeCell ref="B1:I1"/>
    <mergeCell ref="M1:U1"/>
    <mergeCell ref="D3:E3"/>
    <mergeCell ref="D4:E4"/>
    <mergeCell ref="D6:H6"/>
    <mergeCell ref="D5:E5"/>
    <mergeCell ref="N5:N6"/>
    <mergeCell ref="L3:L6"/>
    <mergeCell ref="N3:N4"/>
  </mergeCells>
  <phoneticPr fontId="0" type="noConversion"/>
  <conditionalFormatting sqref="A1:XFD1048576">
    <cfRule type="containsErrors" dxfId="10" priority="1">
      <formula>ISERROR(A1)</formula>
    </cfRule>
  </conditionalFormatting>
  <pageMargins left="0.31496062992125984" right="0.51181102362204722" top="0.44" bottom="0.53" header="0.37" footer="0.41"/>
  <pageSetup paperSize="9" scale="98" orientation="landscape" horizontalDpi="4294967293" verticalDpi="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T48"/>
  <sheetViews>
    <sheetView zoomScale="80" zoomScaleNormal="80" workbookViewId="0"/>
  </sheetViews>
  <sheetFormatPr baseColWidth="10" defaultColWidth="11.44140625" defaultRowHeight="13.8" x14ac:dyDescent="0.25"/>
  <cols>
    <col min="1" max="1" width="7.44140625" style="23" customWidth="1"/>
    <col min="2" max="2" width="11.88671875" style="23" customWidth="1"/>
    <col min="3" max="3" width="5.5546875" style="23" customWidth="1"/>
    <col min="4" max="4" width="46.21875" style="23" customWidth="1"/>
    <col min="5" max="10" width="2.109375" style="23" customWidth="1"/>
    <col min="11" max="11" width="7.6640625" style="23" customWidth="1"/>
    <col min="12" max="12" width="6.88671875" style="23" customWidth="1"/>
    <col min="13" max="14" width="8.6640625" style="23" customWidth="1"/>
    <col min="15" max="16" width="13.33203125" style="23" customWidth="1"/>
    <col min="17" max="17" width="7.44140625" style="23" customWidth="1"/>
    <col min="18" max="18" width="0" style="23" hidden="1" customWidth="1"/>
    <col min="19" max="19" width="28" style="84" hidden="1" customWidth="1"/>
    <col min="20" max="20" width="28" style="85" hidden="1" customWidth="1"/>
    <col min="21" max="26" width="11.44140625" style="85" hidden="1" customWidth="1"/>
    <col min="27" max="27" width="11.44140625" style="84" hidden="1" customWidth="1"/>
    <col min="28" max="28" width="36" style="23" bestFit="1" customWidth="1"/>
    <col min="29" max="31" width="11.44140625" style="23"/>
    <col min="32" max="33" width="28" style="23" hidden="1" customWidth="1"/>
    <col min="34" max="46" width="0" style="23" hidden="1" customWidth="1"/>
    <col min="47" max="16384" width="11.44140625" style="23"/>
  </cols>
  <sheetData>
    <row r="1" spans="2:46" ht="43.5" customHeight="1" x14ac:dyDescent="0.3">
      <c r="B1" s="376" t="s">
        <v>185</v>
      </c>
      <c r="C1" s="376"/>
      <c r="D1" s="376"/>
      <c r="K1" s="376" t="s">
        <v>186</v>
      </c>
      <c r="L1" s="376"/>
      <c r="M1" s="376"/>
      <c r="N1" s="376"/>
      <c r="O1" s="376"/>
      <c r="P1" s="376"/>
      <c r="Q1" s="376"/>
    </row>
    <row r="2" spans="2:46" ht="18" customHeight="1" x14ac:dyDescent="0.25">
      <c r="B2" s="377" t="s">
        <v>187</v>
      </c>
      <c r="C2" s="377"/>
      <c r="D2" s="377"/>
      <c r="K2" s="378" t="s">
        <v>480</v>
      </c>
      <c r="L2" s="378"/>
      <c r="M2" s="378"/>
      <c r="N2" s="378"/>
      <c r="O2" s="378"/>
      <c r="P2" s="378"/>
      <c r="Q2" s="378"/>
    </row>
    <row r="3" spans="2:46" ht="54.75" customHeight="1" x14ac:dyDescent="0.25">
      <c r="E3" s="22"/>
      <c r="F3" s="22"/>
      <c r="G3" s="22"/>
      <c r="H3" s="22"/>
      <c r="I3" s="22"/>
      <c r="J3" s="22"/>
      <c r="K3" s="22"/>
      <c r="L3" s="22"/>
      <c r="M3" s="22"/>
      <c r="N3" s="22"/>
    </row>
    <row r="4" spans="2:46" ht="17.399999999999999" x14ac:dyDescent="0.3">
      <c r="C4" s="107"/>
      <c r="D4" s="379" t="s">
        <v>188</v>
      </c>
      <c r="E4" s="379"/>
      <c r="F4" s="379"/>
      <c r="G4" s="379"/>
      <c r="H4" s="379"/>
      <c r="I4" s="379"/>
      <c r="J4" s="379"/>
      <c r="K4" s="379"/>
      <c r="L4" s="379"/>
      <c r="M4" s="379"/>
      <c r="N4" s="379"/>
      <c r="O4" s="379"/>
    </row>
    <row r="5" spans="2:46" ht="15.6" x14ac:dyDescent="0.3">
      <c r="C5" s="107"/>
      <c r="D5" s="392"/>
      <c r="E5" s="392"/>
      <c r="F5" s="392"/>
      <c r="G5" s="392"/>
      <c r="H5" s="392"/>
      <c r="I5" s="392"/>
      <c r="J5" s="392"/>
      <c r="K5" s="392"/>
      <c r="L5" s="392"/>
      <c r="M5" s="392"/>
      <c r="N5" s="392"/>
      <c r="O5" s="392"/>
    </row>
    <row r="6" spans="2:46" ht="15.6" x14ac:dyDescent="0.3">
      <c r="C6" s="107"/>
      <c r="D6" s="392"/>
      <c r="E6" s="392"/>
      <c r="F6" s="392"/>
      <c r="G6" s="392"/>
      <c r="H6" s="392"/>
      <c r="I6" s="392"/>
      <c r="J6" s="392"/>
      <c r="K6" s="392"/>
      <c r="L6" s="392"/>
      <c r="M6" s="392"/>
      <c r="N6" s="392"/>
      <c r="O6" s="392"/>
    </row>
    <row r="7" spans="2:46" x14ac:dyDescent="0.25">
      <c r="C7" s="107"/>
    </row>
    <row r="8" spans="2:46" ht="48" customHeight="1" x14ac:dyDescent="0.25"/>
    <row r="9" spans="2:46" ht="46.5" customHeight="1" x14ac:dyDescent="0.25">
      <c r="B9" s="389" t="str">
        <f>IF(Tirage!H5="","",Tirage!H5)</f>
        <v>Finale Oise</v>
      </c>
      <c r="C9" s="390"/>
      <c r="D9" s="390"/>
      <c r="E9" s="390"/>
      <c r="F9" s="390"/>
      <c r="G9" s="390"/>
      <c r="H9" s="390"/>
      <c r="I9" s="390"/>
      <c r="J9" s="390"/>
      <c r="K9" s="390"/>
      <c r="L9" s="390"/>
      <c r="M9" s="390"/>
      <c r="N9" s="390"/>
      <c r="O9" s="390"/>
      <c r="P9" s="390"/>
      <c r="Q9" s="391"/>
      <c r="S9" s="84" t="s">
        <v>189</v>
      </c>
      <c r="AF9" s="23" t="s">
        <v>189</v>
      </c>
    </row>
    <row r="10" spans="2:46" ht="38.25" customHeight="1" x14ac:dyDescent="0.25">
      <c r="B10" s="380" t="s">
        <v>190</v>
      </c>
      <c r="C10" s="381"/>
      <c r="D10" s="382" t="str">
        <f>IF(Tirage!H6="","",Tirage!H6)</f>
        <v>CADRE</v>
      </c>
      <c r="E10" s="383"/>
      <c r="F10" s="384"/>
      <c r="G10" s="380" t="s">
        <v>6</v>
      </c>
      <c r="H10" s="385"/>
      <c r="I10" s="385"/>
      <c r="J10" s="385"/>
      <c r="K10" s="381"/>
      <c r="L10" s="386" t="str">
        <f>IF(Tirage!H7="","",Tirage!H7)</f>
        <v>REGIONAL 1</v>
      </c>
      <c r="M10" s="387"/>
      <c r="N10" s="387"/>
      <c r="O10" s="387"/>
      <c r="P10" s="387"/>
      <c r="Q10" s="388"/>
      <c r="S10" s="84" t="s">
        <v>191</v>
      </c>
      <c r="T10" s="86"/>
      <c r="U10" s="86"/>
      <c r="V10" s="86"/>
      <c r="W10" s="86"/>
      <c r="X10" s="86"/>
      <c r="Y10" s="86"/>
      <c r="Z10" s="86"/>
      <c r="AA10" s="87"/>
      <c r="AB10" s="108"/>
      <c r="AC10" s="108"/>
      <c r="AD10" s="108"/>
      <c r="AE10" s="108"/>
      <c r="AF10" s="23" t="s">
        <v>191</v>
      </c>
      <c r="AG10" s="108"/>
      <c r="AH10" s="108"/>
      <c r="AI10" s="108"/>
      <c r="AJ10" s="108"/>
      <c r="AK10" s="108"/>
      <c r="AL10" s="108"/>
      <c r="AM10" s="108"/>
      <c r="AN10" s="108"/>
    </row>
    <row r="11" spans="2:46" ht="40.5" customHeight="1" x14ac:dyDescent="0.25">
      <c r="B11" s="401" t="s">
        <v>192</v>
      </c>
      <c r="C11" s="402"/>
      <c r="D11" s="403" t="str">
        <f>IF(Tirage!H8="","",Tirage!H8)</f>
        <v>B.C CREPY EN VALOIS</v>
      </c>
      <c r="E11" s="404"/>
      <c r="F11" s="405"/>
      <c r="G11" s="401" t="s">
        <v>8</v>
      </c>
      <c r="H11" s="406"/>
      <c r="I11" s="406"/>
      <c r="J11" s="406"/>
      <c r="K11" s="402"/>
      <c r="L11" s="407">
        <f>IF(Tirage!H9="","",Tirage!H9)</f>
        <v>46046</v>
      </c>
      <c r="M11" s="408"/>
      <c r="N11" s="408"/>
      <c r="O11" s="408"/>
      <c r="P11" s="408"/>
      <c r="Q11" s="409"/>
      <c r="S11" s="84" t="s">
        <v>193</v>
      </c>
      <c r="T11" s="86"/>
      <c r="U11" s="86"/>
      <c r="V11" s="86"/>
      <c r="W11" s="86"/>
      <c r="X11" s="86"/>
      <c r="Y11" s="86"/>
      <c r="Z11" s="86"/>
      <c r="AA11" s="87"/>
      <c r="AB11" s="108"/>
      <c r="AC11" s="108"/>
      <c r="AD11" s="108"/>
      <c r="AE11" s="108"/>
      <c r="AF11" s="23" t="s">
        <v>193</v>
      </c>
      <c r="AG11" s="108"/>
      <c r="AH11" s="108"/>
      <c r="AI11" s="108"/>
      <c r="AJ11" s="108"/>
      <c r="AK11" s="108"/>
      <c r="AL11" s="108"/>
      <c r="AM11" s="108"/>
      <c r="AN11" s="108"/>
    </row>
    <row r="12" spans="2:46" ht="35.25" customHeight="1" x14ac:dyDescent="0.25">
      <c r="S12" s="87"/>
      <c r="T12" s="86"/>
      <c r="U12" s="86"/>
      <c r="V12" s="86"/>
      <c r="W12" s="86"/>
      <c r="X12" s="86"/>
      <c r="Y12" s="86"/>
      <c r="Z12" s="86"/>
      <c r="AA12" s="87"/>
      <c r="AB12" s="108"/>
      <c r="AC12" s="108"/>
      <c r="AD12" s="108"/>
      <c r="AE12" s="108"/>
      <c r="AF12" s="108"/>
      <c r="AG12" s="108"/>
      <c r="AH12" s="108"/>
      <c r="AI12" s="108"/>
      <c r="AJ12" s="108"/>
      <c r="AK12" s="108"/>
      <c r="AL12" s="108"/>
      <c r="AM12" s="108"/>
      <c r="AN12" s="108"/>
    </row>
    <row r="13" spans="2:46" ht="15" customHeight="1" x14ac:dyDescent="0.25">
      <c r="B13" s="393" t="s">
        <v>194</v>
      </c>
      <c r="C13" s="410" t="s">
        <v>195</v>
      </c>
      <c r="D13" s="411"/>
      <c r="E13" s="410" t="s">
        <v>196</v>
      </c>
      <c r="F13" s="416"/>
      <c r="G13" s="416"/>
      <c r="H13" s="416"/>
      <c r="I13" s="416"/>
      <c r="J13" s="416"/>
      <c r="K13" s="411"/>
      <c r="L13" s="393" t="s">
        <v>182</v>
      </c>
      <c r="M13" s="393" t="s">
        <v>197</v>
      </c>
      <c r="N13" s="393" t="s">
        <v>198</v>
      </c>
      <c r="O13" s="393" t="s">
        <v>199</v>
      </c>
      <c r="P13" s="393" t="s">
        <v>200</v>
      </c>
      <c r="Q13" s="393" t="s">
        <v>184</v>
      </c>
      <c r="S13" s="87"/>
      <c r="T13" s="86"/>
      <c r="U13" s="86"/>
      <c r="V13" s="86"/>
      <c r="W13" s="86"/>
      <c r="X13" s="86"/>
      <c r="Y13" s="86"/>
      <c r="Z13" s="86"/>
      <c r="AA13" s="87"/>
      <c r="AB13" s="108"/>
      <c r="AC13" s="108"/>
      <c r="AD13" s="108"/>
      <c r="AE13" s="108"/>
      <c r="AF13" s="108"/>
      <c r="AG13" s="108"/>
      <c r="AH13" s="108"/>
      <c r="AI13" s="108"/>
      <c r="AJ13" s="108"/>
      <c r="AK13" s="108"/>
      <c r="AL13" s="108"/>
      <c r="AM13" s="108"/>
      <c r="AN13" s="108"/>
    </row>
    <row r="14" spans="2:46" ht="14.25" customHeight="1" x14ac:dyDescent="0.25">
      <c r="B14" s="394"/>
      <c r="C14" s="412"/>
      <c r="D14" s="413"/>
      <c r="E14" s="412"/>
      <c r="F14" s="417"/>
      <c r="G14" s="417"/>
      <c r="H14" s="417"/>
      <c r="I14" s="417"/>
      <c r="J14" s="417"/>
      <c r="K14" s="413"/>
      <c r="L14" s="394"/>
      <c r="M14" s="394"/>
      <c r="N14" s="394"/>
      <c r="O14" s="394"/>
      <c r="P14" s="394"/>
      <c r="Q14" s="394"/>
      <c r="S14" s="87"/>
      <c r="T14" s="86"/>
      <c r="U14" s="86"/>
      <c r="V14" s="86"/>
      <c r="W14" s="86"/>
      <c r="X14" s="86"/>
      <c r="Y14" s="86"/>
      <c r="Z14" s="86"/>
      <c r="AA14" s="87"/>
      <c r="AB14" s="108"/>
      <c r="AC14" s="108"/>
      <c r="AD14" s="108"/>
      <c r="AE14" s="108"/>
      <c r="AF14" s="108"/>
      <c r="AG14" s="108"/>
      <c r="AH14" s="108"/>
      <c r="AI14" s="108"/>
      <c r="AJ14" s="108"/>
      <c r="AK14" s="108"/>
      <c r="AL14" s="108"/>
      <c r="AM14" s="108"/>
      <c r="AN14" s="108"/>
    </row>
    <row r="15" spans="2:46" ht="27.75" customHeight="1" x14ac:dyDescent="0.25">
      <c r="B15" s="395"/>
      <c r="C15" s="414"/>
      <c r="D15" s="415"/>
      <c r="E15" s="414"/>
      <c r="F15" s="418"/>
      <c r="G15" s="418"/>
      <c r="H15" s="418"/>
      <c r="I15" s="418"/>
      <c r="J15" s="418"/>
      <c r="K15" s="415"/>
      <c r="L15" s="395"/>
      <c r="M15" s="395"/>
      <c r="N15" s="395"/>
      <c r="O15" s="395"/>
      <c r="P15" s="395"/>
      <c r="Q15" s="395"/>
      <c r="S15" s="88" t="s">
        <v>181</v>
      </c>
      <c r="T15" s="89" t="s">
        <v>196</v>
      </c>
      <c r="U15" s="89" t="s">
        <v>182</v>
      </c>
      <c r="V15" s="90" t="s">
        <v>182</v>
      </c>
      <c r="W15" s="89" t="s">
        <v>183</v>
      </c>
      <c r="X15" s="89" t="s">
        <v>153</v>
      </c>
      <c r="Y15" s="89" t="s">
        <v>142</v>
      </c>
      <c r="Z15" s="89" t="s">
        <v>184</v>
      </c>
      <c r="AA15" s="87"/>
      <c r="AB15" s="108"/>
      <c r="AC15" s="108"/>
      <c r="AD15" s="108"/>
      <c r="AE15" s="108"/>
      <c r="AF15" s="88" t="str">
        <f>'Classement impression'!C11</f>
        <v>NOM</v>
      </c>
      <c r="AG15" s="88" t="s">
        <v>196</v>
      </c>
      <c r="AH15" s="88" t="str">
        <f>'Classement impression'!D11</f>
        <v>Pts</v>
      </c>
      <c r="AI15" s="88" t="str">
        <f>'Classement impression'!E11</f>
        <v>Rep</v>
      </c>
      <c r="AJ15" s="88" t="str">
        <f>'Classement impression'!F11</f>
        <v>Série</v>
      </c>
      <c r="AK15" s="88" t="str">
        <f>'Classement impression'!G11</f>
        <v>Part</v>
      </c>
      <c r="AL15" s="88" t="str">
        <f>'Classement impression'!H11</f>
        <v>Moyenne</v>
      </c>
      <c r="AM15" s="88" t="str">
        <f>'Classement impression'!I11</f>
        <v>Pts</v>
      </c>
      <c r="AN15" s="108"/>
    </row>
    <row r="16" spans="2:46" s="84" customFormat="1" ht="28.5" customHeight="1" x14ac:dyDescent="0.3">
      <c r="B16" s="91" t="s">
        <v>929</v>
      </c>
      <c r="C16" s="396" t="str">
        <f ca="1">IF(S16="","",S16)</f>
        <v>CREDOT GERALD</v>
      </c>
      <c r="D16" s="397"/>
      <c r="E16" s="398" t="str">
        <f ca="1">IF(T16="","",T16)</f>
        <v>110380K</v>
      </c>
      <c r="F16" s="399"/>
      <c r="G16" s="399"/>
      <c r="H16" s="399"/>
      <c r="I16" s="399"/>
      <c r="J16" s="399"/>
      <c r="K16" s="400"/>
      <c r="L16" s="92">
        <f ca="1">IF(U16="","",U16)</f>
        <v>7</v>
      </c>
      <c r="M16" s="92">
        <f t="shared" ref="M16:Q23" ca="1" si="0">IF(V16="","",V16)</f>
        <v>320</v>
      </c>
      <c r="N16" s="92">
        <f t="shared" ca="1" si="0"/>
        <v>86</v>
      </c>
      <c r="O16" s="93">
        <f t="shared" ca="1" si="0"/>
        <v>3.7209302325581395</v>
      </c>
      <c r="P16" s="93">
        <f t="shared" ca="1" si="0"/>
        <v>4</v>
      </c>
      <c r="Q16" s="92">
        <f t="shared" ca="1" si="0"/>
        <v>17</v>
      </c>
      <c r="S16" s="88" t="str">
        <f ca="1">IF('Classement impression'!C12="","",'Classement impression'!C12)</f>
        <v>CREDOT GERALD</v>
      </c>
      <c r="T16" s="89" t="str">
        <f ca="1">IF(S16="","",VLOOKUP(S16,Tirage!$B$6:$C$13,2,FALSE))</f>
        <v>110380K</v>
      </c>
      <c r="U16" s="89">
        <f ca="1">IF('Classement impression'!I12="","",'Classement impression'!I12)</f>
        <v>7</v>
      </c>
      <c r="V16" s="89">
        <f ca="1">IF('Classement impression'!D12="","",'Classement impression'!D12)</f>
        <v>320</v>
      </c>
      <c r="W16" s="89">
        <f ca="1">IF('Classement impression'!E12="","",'Classement impression'!E12)</f>
        <v>86</v>
      </c>
      <c r="X16" s="89">
        <f ca="1">IF('Classement impression'!H12="","",'Classement impression'!H12)</f>
        <v>3.7209302325581395</v>
      </c>
      <c r="Y16" s="89">
        <f ca="1">IF('Classement impression'!G12="","",'Classement impression'!G12)</f>
        <v>4</v>
      </c>
      <c r="Z16" s="89">
        <f ca="1">IF('Classement impression'!F12="","",'Classement impression'!F12)</f>
        <v>17</v>
      </c>
      <c r="AA16" s="88"/>
      <c r="AB16" s="87"/>
      <c r="AC16" s="87"/>
      <c r="AD16" s="87"/>
      <c r="AE16" s="87"/>
      <c r="AF16" s="88" t="str">
        <f ca="1">'Classement impression'!C12</f>
        <v>CREDOT GERALD</v>
      </c>
      <c r="AG16" s="88" t="str">
        <f ca="1">VLOOKUP(AF16,Tirage!$B$6:$C$13,2,FALSE)</f>
        <v>110380K</v>
      </c>
      <c r="AH16" s="88">
        <f ca="1">'Classement impression'!D12</f>
        <v>320</v>
      </c>
      <c r="AI16" s="88">
        <f ca="1">'Classement impression'!E12</f>
        <v>86</v>
      </c>
      <c r="AJ16" s="88">
        <f ca="1">'Classement impression'!F12</f>
        <v>17</v>
      </c>
      <c r="AK16" s="88">
        <f ca="1">'Classement impression'!G12</f>
        <v>4</v>
      </c>
      <c r="AL16" s="88">
        <f ca="1">'Classement impression'!H12</f>
        <v>3.7209302325581395</v>
      </c>
      <c r="AM16" s="88">
        <f ca="1">'Classement impression'!I12</f>
        <v>7</v>
      </c>
      <c r="AN16" s="88"/>
      <c r="AO16" s="84" t="s">
        <v>201</v>
      </c>
      <c r="AP16" s="84" t="s">
        <v>201</v>
      </c>
      <c r="AQ16" s="84" t="s">
        <v>201</v>
      </c>
      <c r="AR16" s="109" t="s">
        <v>201</v>
      </c>
      <c r="AS16" s="109" t="s">
        <v>201</v>
      </c>
      <c r="AT16" s="84" t="s">
        <v>201</v>
      </c>
    </row>
    <row r="17" spans="1:46" s="84" customFormat="1" ht="28.5" customHeight="1" x14ac:dyDescent="0.3">
      <c r="B17" s="94" t="s">
        <v>963</v>
      </c>
      <c r="C17" s="440" t="str">
        <f t="shared" ref="C17:C23" ca="1" si="1">IF(S17="","",S17)</f>
        <v>HENWOOD PHILIPPE</v>
      </c>
      <c r="D17" s="441"/>
      <c r="E17" s="442" t="str">
        <f t="shared" ref="E17:E23" ca="1" si="2">IF(T17="","",T17)</f>
        <v>020697B</v>
      </c>
      <c r="F17" s="443"/>
      <c r="G17" s="443"/>
      <c r="H17" s="443"/>
      <c r="I17" s="443"/>
      <c r="J17" s="443"/>
      <c r="K17" s="444"/>
      <c r="L17" s="95">
        <f t="shared" ref="L17:L23" ca="1" si="3">IF(U17="","",U17)</f>
        <v>4</v>
      </c>
      <c r="M17" s="95">
        <f t="shared" ca="1" si="0"/>
        <v>264</v>
      </c>
      <c r="N17" s="95">
        <f t="shared" ca="1" si="0"/>
        <v>53</v>
      </c>
      <c r="O17" s="96">
        <f t="shared" ca="1" si="0"/>
        <v>4.9811320754716979</v>
      </c>
      <c r="P17" s="96">
        <f t="shared" ca="1" si="0"/>
        <v>5.7142857142857144</v>
      </c>
      <c r="Q17" s="95">
        <f t="shared" ca="1" si="0"/>
        <v>27</v>
      </c>
      <c r="S17" s="88" t="str">
        <f ca="1">IF('Classement impression'!C13="","",'Classement impression'!C13)</f>
        <v>HENWOOD PHILIPPE</v>
      </c>
      <c r="T17" s="89" t="str">
        <f ca="1">IF(S17="","",VLOOKUP(S17,Tirage!$B$6:$C$13,2,FALSE))</f>
        <v>020697B</v>
      </c>
      <c r="U17" s="89">
        <f ca="1">IF('Classement impression'!I13="","",'Classement impression'!I13)</f>
        <v>4</v>
      </c>
      <c r="V17" s="89">
        <f ca="1">IF('Classement impression'!D13="","",'Classement impression'!D13)</f>
        <v>264</v>
      </c>
      <c r="W17" s="89">
        <f ca="1">IF('Classement impression'!E13="","",'Classement impression'!E13)</f>
        <v>53</v>
      </c>
      <c r="X17" s="89">
        <f ca="1">IF('Classement impression'!H13="","",'Classement impression'!H13)</f>
        <v>4.9811320754716979</v>
      </c>
      <c r="Y17" s="89">
        <f ca="1">IF('Classement impression'!G13="","",'Classement impression'!G13)</f>
        <v>5.7142857142857144</v>
      </c>
      <c r="Z17" s="89">
        <f ca="1">IF('Classement impression'!F13="","",'Classement impression'!F13)</f>
        <v>27</v>
      </c>
      <c r="AA17" s="88"/>
      <c r="AB17" s="87"/>
      <c r="AC17" s="87"/>
      <c r="AD17" s="87"/>
      <c r="AE17" s="87"/>
      <c r="AF17" s="88" t="str">
        <f ca="1">'Classement impression'!C13</f>
        <v>HENWOOD PHILIPPE</v>
      </c>
      <c r="AG17" s="88" t="str">
        <f ca="1">VLOOKUP(AF17,Tirage!$B$6:$C$13,2,FALSE)</f>
        <v>020697B</v>
      </c>
      <c r="AH17" s="88">
        <f ca="1">'Classement impression'!D13</f>
        <v>264</v>
      </c>
      <c r="AI17" s="88">
        <f ca="1">'Classement impression'!E13</f>
        <v>53</v>
      </c>
      <c r="AJ17" s="88">
        <f ca="1">'Classement impression'!F13</f>
        <v>27</v>
      </c>
      <c r="AK17" s="88">
        <f ca="1">'Classement impression'!G13</f>
        <v>5.7142857142857144</v>
      </c>
      <c r="AL17" s="88">
        <f ca="1">'Classement impression'!H13</f>
        <v>4.9811320754716979</v>
      </c>
      <c r="AM17" s="88">
        <f ca="1">'Classement impression'!I13</f>
        <v>4</v>
      </c>
      <c r="AN17" s="88"/>
      <c r="AO17" s="84" t="s">
        <v>201</v>
      </c>
      <c r="AP17" s="84" t="s">
        <v>201</v>
      </c>
      <c r="AQ17" s="84" t="s">
        <v>201</v>
      </c>
      <c r="AR17" s="109" t="s">
        <v>201</v>
      </c>
      <c r="AS17" s="109" t="s">
        <v>201</v>
      </c>
      <c r="AT17" s="84" t="s">
        <v>201</v>
      </c>
    </row>
    <row r="18" spans="1:46" s="84" customFormat="1" ht="28.5" customHeight="1" x14ac:dyDescent="0.3">
      <c r="B18" s="94" t="s">
        <v>964</v>
      </c>
      <c r="C18" s="440" t="str">
        <f t="shared" ca="1" si="1"/>
        <v>CASTANER GEORGES</v>
      </c>
      <c r="D18" s="441"/>
      <c r="E18" s="442" t="str">
        <f t="shared" ca="1" si="2"/>
        <v>020493F</v>
      </c>
      <c r="F18" s="443"/>
      <c r="G18" s="443"/>
      <c r="H18" s="443"/>
      <c r="I18" s="443"/>
      <c r="J18" s="443"/>
      <c r="K18" s="444"/>
      <c r="L18" s="95">
        <f t="shared" ca="1" si="3"/>
        <v>4</v>
      </c>
      <c r="M18" s="95">
        <f t="shared" ca="1" si="0"/>
        <v>246</v>
      </c>
      <c r="N18" s="95">
        <f t="shared" ca="1" si="0"/>
        <v>78</v>
      </c>
      <c r="O18" s="96">
        <f t="shared" ca="1" si="0"/>
        <v>3.1538461538461537</v>
      </c>
      <c r="P18" s="96">
        <f t="shared" ca="1" si="0"/>
        <v>3.3333333333333335</v>
      </c>
      <c r="Q18" s="95">
        <f t="shared" ca="1" si="0"/>
        <v>22</v>
      </c>
      <c r="S18" s="88" t="str">
        <f ca="1">IF('Classement impression'!C14="","",'Classement impression'!C14)</f>
        <v>CASTANER GEORGES</v>
      </c>
      <c r="T18" s="89" t="str">
        <f ca="1">IF(S18="","",VLOOKUP(S18,Tirage!$B$6:$C$13,2,FALSE))</f>
        <v>020493F</v>
      </c>
      <c r="U18" s="89">
        <f ca="1">IF('Classement impression'!I14="","",'Classement impression'!I14)</f>
        <v>4</v>
      </c>
      <c r="V18" s="89">
        <f ca="1">IF('Classement impression'!D14="","",'Classement impression'!D14)</f>
        <v>246</v>
      </c>
      <c r="W18" s="89">
        <f ca="1">IF('Classement impression'!E14="","",'Classement impression'!E14)</f>
        <v>78</v>
      </c>
      <c r="X18" s="89">
        <f ca="1">IF('Classement impression'!H14="","",'Classement impression'!H14)</f>
        <v>3.1538461538461537</v>
      </c>
      <c r="Y18" s="89">
        <f ca="1">IF('Classement impression'!G14="","",'Classement impression'!G14)</f>
        <v>3.3333333333333335</v>
      </c>
      <c r="Z18" s="89">
        <f ca="1">IF('Classement impression'!F14="","",'Classement impression'!F14)</f>
        <v>22</v>
      </c>
      <c r="AA18" s="88"/>
      <c r="AB18" s="87"/>
      <c r="AC18" s="87"/>
      <c r="AD18" s="87"/>
      <c r="AE18" s="87"/>
      <c r="AF18" s="88" t="str">
        <f ca="1">'Classement impression'!C14</f>
        <v>CASTANER GEORGES</v>
      </c>
      <c r="AG18" s="88" t="str">
        <f ca="1">VLOOKUP(AF18,Tirage!$B$6:$C$13,2,FALSE)</f>
        <v>020493F</v>
      </c>
      <c r="AH18" s="88">
        <f ca="1">'Classement impression'!D14</f>
        <v>246</v>
      </c>
      <c r="AI18" s="88">
        <f ca="1">'Classement impression'!E14</f>
        <v>78</v>
      </c>
      <c r="AJ18" s="88">
        <f ca="1">'Classement impression'!F14</f>
        <v>22</v>
      </c>
      <c r="AK18" s="88">
        <f ca="1">'Classement impression'!G14</f>
        <v>3.3333333333333335</v>
      </c>
      <c r="AL18" s="88">
        <f ca="1">'Classement impression'!H14</f>
        <v>3.1538461538461537</v>
      </c>
      <c r="AM18" s="88">
        <f ca="1">'Classement impression'!I14</f>
        <v>4</v>
      </c>
      <c r="AN18" s="88"/>
      <c r="AO18" s="84" t="s">
        <v>201</v>
      </c>
      <c r="AP18" s="84" t="s">
        <v>201</v>
      </c>
      <c r="AQ18" s="84" t="s">
        <v>201</v>
      </c>
      <c r="AR18" s="109" t="s">
        <v>201</v>
      </c>
      <c r="AS18" s="109" t="s">
        <v>201</v>
      </c>
      <c r="AT18" s="84" t="s">
        <v>201</v>
      </c>
    </row>
    <row r="19" spans="1:46" s="84" customFormat="1" ht="28.5" customHeight="1" x14ac:dyDescent="0.3">
      <c r="B19" s="94" t="s">
        <v>965</v>
      </c>
      <c r="C19" s="440" t="str">
        <f t="shared" ca="1" si="1"/>
        <v>LACHOQUE DANIEL</v>
      </c>
      <c r="D19" s="441"/>
      <c r="E19" s="442" t="str">
        <f t="shared" ca="1" si="2"/>
        <v>170636Z</v>
      </c>
      <c r="F19" s="443"/>
      <c r="G19" s="443"/>
      <c r="H19" s="443"/>
      <c r="I19" s="443"/>
      <c r="J19" s="443"/>
      <c r="K19" s="444"/>
      <c r="L19" s="95">
        <f t="shared" ca="1" si="3"/>
        <v>3</v>
      </c>
      <c r="M19" s="95">
        <f t="shared" ca="1" si="0"/>
        <v>256</v>
      </c>
      <c r="N19" s="95">
        <f t="shared" ca="1" si="0"/>
        <v>73</v>
      </c>
      <c r="O19" s="96">
        <f t="shared" ca="1" si="0"/>
        <v>3.506849315068493</v>
      </c>
      <c r="P19" s="96">
        <f t="shared" ca="1" si="0"/>
        <v>8.8888888888888893</v>
      </c>
      <c r="Q19" s="95">
        <f t="shared" ca="1" si="0"/>
        <v>19</v>
      </c>
      <c r="S19" s="88" t="str">
        <f ca="1">IF('Classement impression'!C15="","",'Classement impression'!C15)</f>
        <v>LACHOQUE DANIEL</v>
      </c>
      <c r="T19" s="89" t="str">
        <f ca="1">IF(S19="","",VLOOKUP(S19,Tirage!$B$6:$C$13,2,FALSE))</f>
        <v>170636Z</v>
      </c>
      <c r="U19" s="89">
        <f ca="1">IF('Classement impression'!I15="","",'Classement impression'!I15)</f>
        <v>3</v>
      </c>
      <c r="V19" s="89">
        <f ca="1">IF('Classement impression'!D15="","",'Classement impression'!D15)</f>
        <v>256</v>
      </c>
      <c r="W19" s="89">
        <f ca="1">IF('Classement impression'!E15="","",'Classement impression'!E15)</f>
        <v>73</v>
      </c>
      <c r="X19" s="89">
        <f ca="1">IF('Classement impression'!H15="","",'Classement impression'!H15)</f>
        <v>3.506849315068493</v>
      </c>
      <c r="Y19" s="89">
        <f ca="1">IF('Classement impression'!G15="","",'Classement impression'!G15)</f>
        <v>8.8888888888888893</v>
      </c>
      <c r="Z19" s="89">
        <f ca="1">IF('Classement impression'!F15="","",'Classement impression'!F15)</f>
        <v>19</v>
      </c>
      <c r="AA19" s="88"/>
      <c r="AB19" s="87"/>
      <c r="AC19" s="87"/>
      <c r="AD19" s="87"/>
      <c r="AE19" s="87"/>
      <c r="AF19" s="88" t="str">
        <f ca="1">'Classement impression'!C15</f>
        <v>LACHOQUE DANIEL</v>
      </c>
      <c r="AG19" s="88" t="str">
        <f ca="1">VLOOKUP(AF19,Tirage!$B$6:$C$13,2,FALSE)</f>
        <v>170636Z</v>
      </c>
      <c r="AH19" s="88">
        <f ca="1">'Classement impression'!D15</f>
        <v>256</v>
      </c>
      <c r="AI19" s="88">
        <f ca="1">'Classement impression'!E15</f>
        <v>73</v>
      </c>
      <c r="AJ19" s="88">
        <f ca="1">'Classement impression'!F15</f>
        <v>19</v>
      </c>
      <c r="AK19" s="88">
        <f ca="1">'Classement impression'!G15</f>
        <v>8.8888888888888893</v>
      </c>
      <c r="AL19" s="88">
        <f ca="1">'Classement impression'!H15</f>
        <v>3.506849315068493</v>
      </c>
      <c r="AM19" s="88">
        <f ca="1">'Classement impression'!I15</f>
        <v>3</v>
      </c>
      <c r="AN19" s="88"/>
      <c r="AO19" s="84" t="s">
        <v>201</v>
      </c>
      <c r="AP19" s="84" t="s">
        <v>201</v>
      </c>
      <c r="AQ19" s="84" t="s">
        <v>201</v>
      </c>
      <c r="AR19" s="109" t="s">
        <v>201</v>
      </c>
      <c r="AS19" s="109" t="s">
        <v>201</v>
      </c>
      <c r="AT19" s="84" t="s">
        <v>201</v>
      </c>
    </row>
    <row r="20" spans="1:46" s="84" customFormat="1" ht="28.5" customHeight="1" x14ac:dyDescent="0.3">
      <c r="B20" s="94" t="s">
        <v>966</v>
      </c>
      <c r="C20" s="440" t="str">
        <f t="shared" ca="1" si="1"/>
        <v>BLANCHARD THIERRY</v>
      </c>
      <c r="D20" s="441"/>
      <c r="E20" s="442" t="str">
        <f t="shared" ca="1" si="2"/>
        <v>102525H</v>
      </c>
      <c r="F20" s="443"/>
      <c r="G20" s="443"/>
      <c r="H20" s="443"/>
      <c r="I20" s="443"/>
      <c r="J20" s="443"/>
      <c r="K20" s="444"/>
      <c r="L20" s="95">
        <f t="shared" ca="1" si="3"/>
        <v>2</v>
      </c>
      <c r="M20" s="95">
        <f t="shared" ca="1" si="0"/>
        <v>214</v>
      </c>
      <c r="N20" s="95">
        <f t="shared" ca="1" si="0"/>
        <v>82</v>
      </c>
      <c r="O20" s="96">
        <f t="shared" ca="1" si="0"/>
        <v>2.6097560975609757</v>
      </c>
      <c r="P20" s="96">
        <f t="shared" ca="1" si="0"/>
        <v>0</v>
      </c>
      <c r="Q20" s="95">
        <f t="shared" ca="1" si="0"/>
        <v>20</v>
      </c>
      <c r="S20" s="88" t="str">
        <f ca="1">IF('Classement impression'!C16="","",'Classement impression'!C16)</f>
        <v>BLANCHARD THIERRY</v>
      </c>
      <c r="T20" s="89" t="str">
        <f ca="1">IF(S20="","",VLOOKUP(S20,Tirage!$B$6:$C$13,2,FALSE))</f>
        <v>102525H</v>
      </c>
      <c r="U20" s="89">
        <f ca="1">IF('Classement impression'!I16="","",'Classement impression'!I16)</f>
        <v>2</v>
      </c>
      <c r="V20" s="89">
        <f ca="1">IF('Classement impression'!D16="","",'Classement impression'!D16)</f>
        <v>214</v>
      </c>
      <c r="W20" s="89">
        <f ca="1">IF('Classement impression'!E16="","",'Classement impression'!E16)</f>
        <v>82</v>
      </c>
      <c r="X20" s="89">
        <f ca="1">IF('Classement impression'!H16="","",'Classement impression'!H16)</f>
        <v>2.6097560975609757</v>
      </c>
      <c r="Y20" s="89">
        <f ca="1">IF('Classement impression'!G16="","",'Classement impression'!G16)</f>
        <v>0</v>
      </c>
      <c r="Z20" s="89">
        <f ca="1">IF('Classement impression'!F16="","",'Classement impression'!F16)</f>
        <v>20</v>
      </c>
      <c r="AA20" s="88"/>
      <c r="AB20" s="87"/>
      <c r="AC20" s="87"/>
      <c r="AD20" s="87"/>
      <c r="AE20" s="87"/>
      <c r="AF20" s="88" t="str">
        <f ca="1">'Classement impression'!C16</f>
        <v>BLANCHARD THIERRY</v>
      </c>
      <c r="AG20" s="88" t="str">
        <f ca="1">VLOOKUP(AF20,Tirage!$B$6:$C$13,2,FALSE)</f>
        <v>102525H</v>
      </c>
      <c r="AH20" s="88">
        <f ca="1">'Classement impression'!D16</f>
        <v>214</v>
      </c>
      <c r="AI20" s="88">
        <f ca="1">'Classement impression'!E16</f>
        <v>82</v>
      </c>
      <c r="AJ20" s="88">
        <f ca="1">'Classement impression'!F16</f>
        <v>20</v>
      </c>
      <c r="AK20" s="88">
        <f ca="1">'Classement impression'!G16</f>
        <v>0</v>
      </c>
      <c r="AL20" s="88">
        <f ca="1">'Classement impression'!H16</f>
        <v>2.6097560975609757</v>
      </c>
      <c r="AM20" s="88">
        <f ca="1">'Classement impression'!I16</f>
        <v>2</v>
      </c>
      <c r="AN20" s="88"/>
      <c r="AO20" s="84" t="s">
        <v>201</v>
      </c>
      <c r="AP20" s="84" t="s">
        <v>201</v>
      </c>
      <c r="AQ20" s="84" t="s">
        <v>201</v>
      </c>
      <c r="AR20" s="109" t="s">
        <v>201</v>
      </c>
      <c r="AS20" s="109" t="s">
        <v>201</v>
      </c>
      <c r="AT20" s="84" t="s">
        <v>201</v>
      </c>
    </row>
    <row r="21" spans="1:46" s="84" customFormat="1" ht="28.5" customHeight="1" x14ac:dyDescent="0.3">
      <c r="B21" s="94" t="s">
        <v>967</v>
      </c>
      <c r="C21" s="440" t="str">
        <f t="shared" si="1"/>
        <v/>
      </c>
      <c r="D21" s="441"/>
      <c r="E21" s="442" t="str">
        <f t="shared" si="2"/>
        <v/>
      </c>
      <c r="F21" s="443"/>
      <c r="G21" s="443"/>
      <c r="H21" s="443"/>
      <c r="I21" s="443"/>
      <c r="J21" s="443"/>
      <c r="K21" s="444"/>
      <c r="L21" s="95" t="str">
        <f t="shared" si="3"/>
        <v/>
      </c>
      <c r="M21" s="95" t="str">
        <f t="shared" si="0"/>
        <v/>
      </c>
      <c r="N21" s="95" t="str">
        <f t="shared" si="0"/>
        <v/>
      </c>
      <c r="O21" s="96" t="str">
        <f t="shared" si="0"/>
        <v/>
      </c>
      <c r="P21" s="96" t="str">
        <f t="shared" si="0"/>
        <v/>
      </c>
      <c r="Q21" s="95" t="str">
        <f t="shared" si="0"/>
        <v/>
      </c>
      <c r="S21" s="88" t="str">
        <f>IF('Classement impression'!C17="","",'Classement impression'!C17)</f>
        <v/>
      </c>
      <c r="T21" s="89" t="str">
        <f>IF(S21="","",VLOOKUP(S21,Tirage!$B$6:$C$13,2,FALSE))</f>
        <v/>
      </c>
      <c r="U21" s="89" t="str">
        <f>IF('Classement impression'!I17="","",'Classement impression'!I17)</f>
        <v/>
      </c>
      <c r="V21" s="89" t="str">
        <f>IF('Classement impression'!D17="","",'Classement impression'!D17)</f>
        <v/>
      </c>
      <c r="W21" s="89" t="str">
        <f>IF('Classement impression'!E17="","",'Classement impression'!E17)</f>
        <v/>
      </c>
      <c r="X21" s="89" t="str">
        <f>IF('Classement impression'!H17="","",'Classement impression'!H17)</f>
        <v/>
      </c>
      <c r="Y21" s="89" t="str">
        <f>IF('Classement impression'!G17="","",'Classement impression'!G17)</f>
        <v/>
      </c>
      <c r="Z21" s="89" t="str">
        <f>IF('Classement impression'!F17="","",'Classement impression'!F17)</f>
        <v/>
      </c>
      <c r="AA21" s="88"/>
      <c r="AB21" s="87"/>
      <c r="AC21" s="87"/>
      <c r="AD21" s="87"/>
      <c r="AE21" s="87"/>
      <c r="AF21" s="88" t="str">
        <f>'Classement impression'!C17</f>
        <v/>
      </c>
      <c r="AG21" s="88" t="e">
        <f>VLOOKUP(AF21,Tirage!$B$6:$C$13,2,FALSE)</f>
        <v>#N/A</v>
      </c>
      <c r="AH21" s="88" t="str">
        <f>'Classement impression'!D17</f>
        <v/>
      </c>
      <c r="AI21" s="88" t="str">
        <f>'Classement impression'!E17</f>
        <v/>
      </c>
      <c r="AJ21" s="88" t="str">
        <f>'Classement impression'!F17</f>
        <v/>
      </c>
      <c r="AK21" s="88" t="str">
        <f>'Classement impression'!G17</f>
        <v/>
      </c>
      <c r="AL21" s="88" t="str">
        <f>'Classement impression'!H17</f>
        <v/>
      </c>
      <c r="AM21" s="88" t="str">
        <f>'Classement impression'!I17</f>
        <v/>
      </c>
      <c r="AN21" s="88"/>
      <c r="AO21" s="84" t="s">
        <v>201</v>
      </c>
      <c r="AP21" s="84" t="s">
        <v>201</v>
      </c>
      <c r="AQ21" s="84" t="s">
        <v>201</v>
      </c>
      <c r="AR21" s="109" t="s">
        <v>201</v>
      </c>
      <c r="AS21" s="109" t="s">
        <v>201</v>
      </c>
      <c r="AT21" s="84" t="s">
        <v>201</v>
      </c>
    </row>
    <row r="22" spans="1:46" s="84" customFormat="1" ht="28.5" customHeight="1" x14ac:dyDescent="0.25">
      <c r="A22" s="23"/>
      <c r="B22" s="94" t="s">
        <v>968</v>
      </c>
      <c r="C22" s="440" t="str">
        <f t="shared" si="1"/>
        <v/>
      </c>
      <c r="D22" s="441"/>
      <c r="E22" s="442" t="str">
        <f t="shared" si="2"/>
        <v/>
      </c>
      <c r="F22" s="443"/>
      <c r="G22" s="443"/>
      <c r="H22" s="443"/>
      <c r="I22" s="443"/>
      <c r="J22" s="443"/>
      <c r="K22" s="444"/>
      <c r="L22" s="95" t="str">
        <f t="shared" si="3"/>
        <v/>
      </c>
      <c r="M22" s="95" t="str">
        <f t="shared" si="0"/>
        <v/>
      </c>
      <c r="N22" s="95" t="str">
        <f t="shared" si="0"/>
        <v/>
      </c>
      <c r="O22" s="96" t="str">
        <f t="shared" si="0"/>
        <v/>
      </c>
      <c r="P22" s="96" t="str">
        <f t="shared" si="0"/>
        <v/>
      </c>
      <c r="Q22" s="95" t="str">
        <f t="shared" si="0"/>
        <v/>
      </c>
      <c r="R22" s="110"/>
      <c r="S22" s="88" t="str">
        <f>IF('Classement impression'!C18="","",'Classement impression'!C18)</f>
        <v/>
      </c>
      <c r="T22" s="89" t="str">
        <f>IF(S22="","",VLOOKUP(S22,Tirage!$B$6:$C$13,2,FALSE))</f>
        <v/>
      </c>
      <c r="U22" s="89" t="str">
        <f>IF('Classement impression'!I18="","",'Classement impression'!I18)</f>
        <v/>
      </c>
      <c r="V22" s="89" t="str">
        <f>IF('Classement impression'!D18="","",'Classement impression'!D18)</f>
        <v/>
      </c>
      <c r="W22" s="89" t="str">
        <f>IF('Classement impression'!E18="","",'Classement impression'!E18)</f>
        <v/>
      </c>
      <c r="X22" s="89" t="str">
        <f>IF('Classement impression'!H18="","",'Classement impression'!H18)</f>
        <v/>
      </c>
      <c r="Y22" s="89" t="str">
        <f>IF('Classement impression'!G18="","",'Classement impression'!G18)</f>
        <v/>
      </c>
      <c r="Z22" s="89" t="str">
        <f>IF('Classement impression'!F18="","",'Classement impression'!F18)</f>
        <v/>
      </c>
      <c r="AA22" s="88"/>
      <c r="AB22" s="112"/>
      <c r="AC22" s="112"/>
      <c r="AD22" s="113"/>
      <c r="AE22" s="113"/>
      <c r="AF22" s="88" t="str">
        <f>'Classement impression'!C18</f>
        <v/>
      </c>
      <c r="AG22" s="88" t="e">
        <f>VLOOKUP(AF22,Tirage!$B$6:$C$13,2,FALSE)</f>
        <v>#N/A</v>
      </c>
      <c r="AH22" s="88" t="str">
        <f>'Classement impression'!D18</f>
        <v/>
      </c>
      <c r="AI22" s="88" t="str">
        <f>'Classement impression'!E18</f>
        <v/>
      </c>
      <c r="AJ22" s="88" t="str">
        <f>'Classement impression'!F18</f>
        <v/>
      </c>
      <c r="AK22" s="88" t="str">
        <f>'Classement impression'!G18</f>
        <v/>
      </c>
      <c r="AL22" s="88" t="str">
        <f>'Classement impression'!H18</f>
        <v/>
      </c>
      <c r="AM22" s="88" t="str">
        <f>'Classement impression'!I18</f>
        <v/>
      </c>
      <c r="AN22" s="88"/>
    </row>
    <row r="23" spans="1:46" s="84" customFormat="1" ht="28.5" customHeight="1" x14ac:dyDescent="0.25">
      <c r="A23" s="23"/>
      <c r="B23" s="94" t="s">
        <v>969</v>
      </c>
      <c r="C23" s="420" t="str">
        <f t="shared" si="1"/>
        <v/>
      </c>
      <c r="D23" s="421"/>
      <c r="E23" s="422" t="str">
        <f t="shared" si="2"/>
        <v/>
      </c>
      <c r="F23" s="423"/>
      <c r="G23" s="423"/>
      <c r="H23" s="423"/>
      <c r="I23" s="423"/>
      <c r="J23" s="423"/>
      <c r="K23" s="424"/>
      <c r="L23" s="97" t="str">
        <f t="shared" si="3"/>
        <v/>
      </c>
      <c r="M23" s="97" t="str">
        <f t="shared" si="0"/>
        <v/>
      </c>
      <c r="N23" s="97" t="str">
        <f t="shared" si="0"/>
        <v/>
      </c>
      <c r="O23" s="98" t="str">
        <f t="shared" si="0"/>
        <v/>
      </c>
      <c r="P23" s="98" t="str">
        <f t="shared" si="0"/>
        <v/>
      </c>
      <c r="Q23" s="97" t="str">
        <f t="shared" si="0"/>
        <v/>
      </c>
      <c r="R23" s="110"/>
      <c r="S23" s="88" t="str">
        <f>IF('Classement impression'!C19="","",'Classement impression'!C19)</f>
        <v/>
      </c>
      <c r="T23" s="89" t="str">
        <f>IF(S23="","",VLOOKUP(S23,Tirage!$B$6:$C$13,2,FALSE))</f>
        <v/>
      </c>
      <c r="U23" s="89" t="str">
        <f>IF('Classement impression'!I19="","",'Classement impression'!I19)</f>
        <v/>
      </c>
      <c r="V23" s="89" t="str">
        <f>IF('Classement impression'!D19="","",'Classement impression'!D19)</f>
        <v/>
      </c>
      <c r="W23" s="89" t="str">
        <f>IF('Classement impression'!E19="","",'Classement impression'!E19)</f>
        <v/>
      </c>
      <c r="X23" s="89" t="str">
        <f>IF('Classement impression'!H19="","",'Classement impression'!H19)</f>
        <v/>
      </c>
      <c r="Y23" s="89" t="str">
        <f>IF('Classement impression'!G19="","",'Classement impression'!G19)</f>
        <v/>
      </c>
      <c r="Z23" s="89" t="str">
        <f>IF('Classement impression'!F19="","",'Classement impression'!F19)</f>
        <v/>
      </c>
      <c r="AA23" s="88"/>
      <c r="AB23" s="112"/>
      <c r="AC23" s="112"/>
      <c r="AD23" s="113"/>
      <c r="AE23" s="113"/>
      <c r="AF23" s="88" t="str">
        <f>'Classement impression'!C19</f>
        <v/>
      </c>
      <c r="AG23" s="88" t="e">
        <f>VLOOKUP(AF23,Tirage!$B$6:$C$13,2,FALSE)</f>
        <v>#N/A</v>
      </c>
      <c r="AH23" s="88" t="str">
        <f>'Classement impression'!D19</f>
        <v/>
      </c>
      <c r="AI23" s="88" t="str">
        <f>'Classement impression'!E19</f>
        <v/>
      </c>
      <c r="AJ23" s="88" t="str">
        <f>'Classement impression'!F19</f>
        <v/>
      </c>
      <c r="AK23" s="88" t="str">
        <f>'Classement impression'!G19</f>
        <v/>
      </c>
      <c r="AL23" s="88" t="str">
        <f>'Classement impression'!H19</f>
        <v/>
      </c>
      <c r="AM23" s="88" t="str">
        <f>'Classement impression'!I19</f>
        <v/>
      </c>
      <c r="AN23" s="88"/>
    </row>
    <row r="24" spans="1:46" x14ac:dyDescent="0.25">
      <c r="C24" s="110"/>
      <c r="D24" s="114"/>
      <c r="E24" s="430"/>
      <c r="F24" s="430"/>
      <c r="G24" s="430"/>
      <c r="H24" s="430"/>
      <c r="I24" s="430"/>
      <c r="J24" s="430"/>
      <c r="K24" s="430"/>
      <c r="L24" s="111"/>
      <c r="M24" s="111"/>
      <c r="N24" s="111"/>
      <c r="O24" s="115"/>
      <c r="P24" s="115"/>
      <c r="Q24" s="111"/>
      <c r="S24" s="87"/>
      <c r="T24" s="86"/>
      <c r="U24" s="86"/>
      <c r="V24" s="86"/>
      <c r="W24" s="86"/>
      <c r="X24" s="86"/>
      <c r="Y24" s="86"/>
      <c r="Z24" s="86"/>
      <c r="AA24" s="87"/>
      <c r="AB24" s="108"/>
      <c r="AC24" s="108"/>
      <c r="AD24" s="108"/>
      <c r="AE24" s="108"/>
      <c r="AF24" s="108"/>
      <c r="AG24" s="108"/>
      <c r="AH24" s="108"/>
      <c r="AI24" s="108"/>
      <c r="AJ24" s="108"/>
      <c r="AK24" s="108"/>
      <c r="AL24" s="108"/>
      <c r="AM24" s="108"/>
      <c r="AN24" s="108"/>
    </row>
    <row r="25" spans="1:46" x14ac:dyDescent="0.25">
      <c r="C25" s="110"/>
      <c r="D25" s="114"/>
      <c r="E25" s="431"/>
      <c r="F25" s="431"/>
      <c r="G25" s="431"/>
      <c r="H25" s="431"/>
      <c r="I25" s="431"/>
      <c r="J25" s="431"/>
      <c r="K25" s="431"/>
      <c r="L25" s="111"/>
      <c r="M25" s="111"/>
      <c r="N25" s="111"/>
      <c r="O25" s="115"/>
      <c r="P25" s="115"/>
      <c r="Q25" s="111"/>
    </row>
    <row r="26" spans="1:46" x14ac:dyDescent="0.25">
      <c r="C26" s="116"/>
    </row>
    <row r="27" spans="1:46" x14ac:dyDescent="0.25">
      <c r="C27" s="116"/>
    </row>
    <row r="28" spans="1:46" ht="23.25" customHeight="1" x14ac:dyDescent="0.25">
      <c r="B28" s="432" t="s">
        <v>202</v>
      </c>
      <c r="C28" s="433"/>
      <c r="D28" s="433"/>
      <c r="E28" s="433"/>
      <c r="F28" s="433"/>
      <c r="G28" s="433"/>
      <c r="H28" s="433"/>
      <c r="I28" s="433"/>
      <c r="J28" s="433"/>
      <c r="K28" s="433"/>
      <c r="L28" s="433"/>
      <c r="M28" s="433"/>
      <c r="N28" s="433"/>
      <c r="O28" s="433"/>
      <c r="P28" s="433"/>
      <c r="Q28" s="434"/>
    </row>
    <row r="29" spans="1:46" ht="31.5" customHeight="1" x14ac:dyDescent="0.3">
      <c r="B29" s="99">
        <v>1</v>
      </c>
      <c r="C29" s="435"/>
      <c r="D29" s="436"/>
      <c r="E29" s="437"/>
      <c r="F29" s="438"/>
      <c r="G29" s="438"/>
      <c r="H29" s="438"/>
      <c r="I29" s="438"/>
      <c r="J29" s="438"/>
      <c r="K29" s="439"/>
      <c r="L29" s="100"/>
      <c r="M29" s="100"/>
      <c r="N29" s="100"/>
      <c r="O29" s="100"/>
      <c r="P29" s="100"/>
      <c r="Q29" s="100"/>
    </row>
    <row r="30" spans="1:46" ht="31.5" customHeight="1" x14ac:dyDescent="0.3">
      <c r="B30" s="101">
        <v>2</v>
      </c>
      <c r="C30" s="428"/>
      <c r="D30" s="429"/>
      <c r="E30" s="425"/>
      <c r="F30" s="426"/>
      <c r="G30" s="426"/>
      <c r="H30" s="426"/>
      <c r="I30" s="426"/>
      <c r="J30" s="426"/>
      <c r="K30" s="427"/>
      <c r="L30" s="102"/>
      <c r="M30" s="102"/>
      <c r="N30" s="102"/>
      <c r="O30" s="102"/>
      <c r="P30" s="102"/>
      <c r="Q30" s="102"/>
    </row>
    <row r="32" spans="1:46" ht="66.75" customHeight="1" x14ac:dyDescent="0.25"/>
    <row r="33" spans="2:27" s="26" customFormat="1" ht="17.399999999999999" x14ac:dyDescent="0.3">
      <c r="C33" s="26" t="s">
        <v>203</v>
      </c>
      <c r="M33" s="419" t="str">
        <f>IF(Tirage!H13="","",Tirage!H13)</f>
        <v>CULLATI</v>
      </c>
      <c r="N33" s="419"/>
      <c r="O33" s="419"/>
      <c r="P33" s="419"/>
      <c r="Q33" s="419"/>
      <c r="S33" s="103"/>
      <c r="T33" s="104"/>
      <c r="U33" s="104"/>
      <c r="V33" s="104"/>
      <c r="W33" s="104"/>
      <c r="X33" s="104"/>
      <c r="Y33" s="104"/>
      <c r="Z33" s="104"/>
      <c r="AA33" s="103"/>
    </row>
    <row r="34" spans="2:27" s="26" customFormat="1" ht="17.399999999999999" x14ac:dyDescent="0.3">
      <c r="S34" s="103"/>
      <c r="T34" s="104"/>
      <c r="U34" s="104"/>
      <c r="V34" s="104"/>
      <c r="W34" s="104"/>
      <c r="X34" s="104"/>
      <c r="Y34" s="104"/>
      <c r="Z34" s="104"/>
      <c r="AA34" s="103"/>
    </row>
    <row r="35" spans="2:27" s="26" customFormat="1" ht="17.399999999999999" x14ac:dyDescent="0.3">
      <c r="S35" s="103"/>
      <c r="T35" s="104"/>
      <c r="U35" s="104"/>
      <c r="V35" s="104"/>
      <c r="W35" s="104"/>
      <c r="X35" s="104"/>
      <c r="Y35" s="104"/>
      <c r="Z35" s="104"/>
      <c r="AA35" s="103"/>
    </row>
    <row r="36" spans="2:27" s="26" customFormat="1" ht="17.399999999999999" x14ac:dyDescent="0.3">
      <c r="B36" s="26" t="s">
        <v>204</v>
      </c>
      <c r="C36" s="445" t="s">
        <v>481</v>
      </c>
      <c r="D36" s="445"/>
      <c r="M36" s="26" t="s">
        <v>205</v>
      </c>
      <c r="S36" s="103"/>
      <c r="T36" s="104"/>
      <c r="U36" s="104"/>
      <c r="V36" s="104"/>
      <c r="W36" s="104"/>
      <c r="X36" s="104"/>
      <c r="Y36" s="104"/>
      <c r="Z36" s="104"/>
      <c r="AA36" s="103"/>
    </row>
    <row r="37" spans="2:27" s="26" customFormat="1" ht="17.399999999999999" x14ac:dyDescent="0.3">
      <c r="S37" s="103"/>
      <c r="T37" s="104"/>
      <c r="U37" s="104"/>
      <c r="V37" s="104"/>
      <c r="W37" s="104"/>
      <c r="X37" s="104"/>
      <c r="Y37" s="104"/>
      <c r="Z37" s="104"/>
      <c r="AA37" s="103"/>
    </row>
    <row r="38" spans="2:27" s="26" customFormat="1" ht="52.5" customHeight="1" x14ac:dyDescent="0.3">
      <c r="S38" s="103"/>
      <c r="T38" s="104"/>
      <c r="U38" s="104"/>
      <c r="V38" s="104"/>
      <c r="W38" s="104"/>
      <c r="X38" s="104"/>
      <c r="Y38" s="104"/>
      <c r="Z38" s="104"/>
      <c r="AA38" s="103"/>
    </row>
    <row r="39" spans="2:27" s="26" customFormat="1" ht="25.5" customHeight="1" x14ac:dyDescent="0.3">
      <c r="B39" s="446" t="s">
        <v>206</v>
      </c>
      <c r="C39" s="447"/>
      <c r="D39" s="447"/>
      <c r="E39" s="447"/>
      <c r="F39" s="447"/>
      <c r="G39" s="447"/>
      <c r="H39" s="447"/>
      <c r="I39" s="447"/>
      <c r="J39" s="447"/>
      <c r="K39" s="447"/>
      <c r="L39" s="447"/>
      <c r="M39" s="447"/>
      <c r="N39" s="447"/>
      <c r="O39" s="447"/>
      <c r="P39" s="447"/>
      <c r="Q39" s="448"/>
      <c r="S39" s="103"/>
      <c r="T39" s="104"/>
      <c r="U39" s="104"/>
      <c r="V39" s="104"/>
      <c r="W39" s="104"/>
      <c r="X39" s="104"/>
      <c r="Y39" s="104"/>
      <c r="Z39" s="104"/>
      <c r="AA39" s="103"/>
    </row>
    <row r="40" spans="2:27" s="26" customFormat="1" ht="36.75" customHeight="1" x14ac:dyDescent="0.3">
      <c r="B40" s="449" t="s">
        <v>207</v>
      </c>
      <c r="C40" s="377"/>
      <c r="D40" s="377"/>
      <c r="E40" s="377"/>
      <c r="F40" s="377"/>
      <c r="G40" s="377"/>
      <c r="H40" s="377"/>
      <c r="I40" s="377"/>
      <c r="J40" s="377"/>
      <c r="K40" s="377"/>
      <c r="L40" s="377"/>
      <c r="M40" s="377"/>
      <c r="N40" s="377"/>
      <c r="O40" s="377"/>
      <c r="P40" s="377"/>
      <c r="Q40" s="450"/>
      <c r="S40" s="103"/>
      <c r="T40" s="104"/>
      <c r="U40" s="104"/>
      <c r="V40" s="104"/>
      <c r="W40" s="104"/>
      <c r="X40" s="104"/>
      <c r="Y40" s="104"/>
      <c r="Z40" s="104"/>
      <c r="AA40" s="103"/>
    </row>
    <row r="41" spans="2:27" s="26" customFormat="1" ht="42.75" customHeight="1" x14ac:dyDescent="0.3">
      <c r="B41" s="449" t="s">
        <v>208</v>
      </c>
      <c r="C41" s="377"/>
      <c r="D41" s="377"/>
      <c r="E41" s="377"/>
      <c r="F41" s="377"/>
      <c r="G41" s="377"/>
      <c r="H41" s="377"/>
      <c r="I41" s="377"/>
      <c r="J41" s="377"/>
      <c r="K41" s="377"/>
      <c r="L41" s="377"/>
      <c r="M41" s="377"/>
      <c r="N41" s="377"/>
      <c r="O41" s="377"/>
      <c r="P41" s="377"/>
      <c r="Q41" s="450"/>
      <c r="S41" s="103"/>
      <c r="T41" s="104"/>
      <c r="U41" s="104"/>
      <c r="V41" s="104"/>
      <c r="W41" s="104"/>
      <c r="X41" s="104"/>
      <c r="Y41" s="104"/>
      <c r="Z41" s="104"/>
      <c r="AA41" s="103"/>
    </row>
    <row r="42" spans="2:27" s="26" customFormat="1" ht="18" customHeight="1" x14ac:dyDescent="0.3">
      <c r="B42" s="451" t="s">
        <v>209</v>
      </c>
      <c r="C42" s="452"/>
      <c r="D42" s="452"/>
      <c r="E42" s="452"/>
      <c r="F42" s="452"/>
      <c r="G42" s="452"/>
      <c r="H42" s="452"/>
      <c r="I42" s="452"/>
      <c r="J42" s="452"/>
      <c r="K42" s="452"/>
      <c r="L42" s="452"/>
      <c r="M42" s="452"/>
      <c r="N42" s="452"/>
      <c r="O42" s="452"/>
      <c r="P42" s="452"/>
      <c r="Q42" s="453"/>
      <c r="S42" s="103"/>
      <c r="T42" s="104"/>
      <c r="U42" s="104"/>
      <c r="V42" s="104"/>
      <c r="W42" s="104"/>
      <c r="X42" s="104"/>
      <c r="Y42" s="104"/>
      <c r="Z42" s="104"/>
      <c r="AA42" s="103"/>
    </row>
    <row r="43" spans="2:27" s="24" customFormat="1" ht="17.399999999999999" x14ac:dyDescent="0.3">
      <c r="S43" s="105"/>
      <c r="T43" s="106"/>
      <c r="U43" s="106"/>
      <c r="V43" s="106"/>
      <c r="W43" s="106"/>
      <c r="X43" s="106"/>
      <c r="Y43" s="106"/>
      <c r="Z43" s="106"/>
      <c r="AA43" s="105"/>
    </row>
    <row r="44" spans="2:27" s="24" customFormat="1" ht="17.399999999999999" x14ac:dyDescent="0.3">
      <c r="S44" s="105"/>
      <c r="T44" s="106"/>
      <c r="U44" s="106"/>
      <c r="V44" s="106"/>
      <c r="W44" s="106"/>
      <c r="X44" s="106"/>
      <c r="Y44" s="106"/>
      <c r="Z44" s="106"/>
      <c r="AA44" s="105"/>
    </row>
    <row r="45" spans="2:27" s="24" customFormat="1" ht="17.399999999999999" x14ac:dyDescent="0.3">
      <c r="D45" s="117"/>
      <c r="S45" s="105"/>
      <c r="T45" s="106"/>
      <c r="U45" s="106"/>
      <c r="V45" s="106"/>
      <c r="W45" s="106"/>
      <c r="X45" s="106"/>
      <c r="Y45" s="106"/>
      <c r="Z45" s="106"/>
      <c r="AA45" s="105"/>
    </row>
    <row r="46" spans="2:27" s="24" customFormat="1" ht="17.399999999999999" x14ac:dyDescent="0.3">
      <c r="D46" s="118"/>
      <c r="S46" s="105"/>
      <c r="T46" s="106"/>
      <c r="U46" s="106"/>
      <c r="V46" s="106"/>
      <c r="W46" s="106"/>
      <c r="X46" s="106"/>
      <c r="Y46" s="106"/>
      <c r="Z46" s="106"/>
      <c r="AA46" s="105"/>
    </row>
    <row r="47" spans="2:27" s="24" customFormat="1" ht="17.399999999999999" x14ac:dyDescent="0.3">
      <c r="S47" s="105"/>
      <c r="T47" s="106"/>
      <c r="U47" s="106"/>
      <c r="V47" s="106"/>
      <c r="W47" s="106"/>
      <c r="X47" s="106"/>
      <c r="Y47" s="106"/>
      <c r="Z47" s="106"/>
      <c r="AA47" s="105"/>
    </row>
    <row r="48" spans="2:27" s="24" customFormat="1" ht="17.399999999999999" x14ac:dyDescent="0.3">
      <c r="S48" s="105"/>
      <c r="T48" s="106"/>
      <c r="U48" s="106"/>
      <c r="V48" s="106"/>
      <c r="W48" s="106"/>
      <c r="X48" s="106"/>
      <c r="Y48" s="106"/>
      <c r="Z48" s="106"/>
      <c r="AA48" s="105"/>
    </row>
  </sheetData>
  <sheetProtection selectLockedCells="1"/>
  <mergeCells count="54">
    <mergeCell ref="C36:D36"/>
    <mergeCell ref="B39:Q39"/>
    <mergeCell ref="B40:Q40"/>
    <mergeCell ref="B41:Q41"/>
    <mergeCell ref="B42:Q42"/>
    <mergeCell ref="C22:D22"/>
    <mergeCell ref="E22:K22"/>
    <mergeCell ref="C17:D17"/>
    <mergeCell ref="E17:K17"/>
    <mergeCell ref="C18:D18"/>
    <mergeCell ref="E18:K18"/>
    <mergeCell ref="C19:D19"/>
    <mergeCell ref="E19:K19"/>
    <mergeCell ref="C20:D20"/>
    <mergeCell ref="E20:K20"/>
    <mergeCell ref="C21:D21"/>
    <mergeCell ref="E21:K21"/>
    <mergeCell ref="M33:Q33"/>
    <mergeCell ref="C23:D23"/>
    <mergeCell ref="E23:K23"/>
    <mergeCell ref="E30:K30"/>
    <mergeCell ref="C30:D30"/>
    <mergeCell ref="E24:K24"/>
    <mergeCell ref="E25:K25"/>
    <mergeCell ref="B28:Q28"/>
    <mergeCell ref="C29:D29"/>
    <mergeCell ref="E29:K29"/>
    <mergeCell ref="Q13:Q15"/>
    <mergeCell ref="C16:D16"/>
    <mergeCell ref="E16:K16"/>
    <mergeCell ref="B11:C11"/>
    <mergeCell ref="D11:F11"/>
    <mergeCell ref="G11:K11"/>
    <mergeCell ref="L11:Q11"/>
    <mergeCell ref="B13:B15"/>
    <mergeCell ref="C13:D15"/>
    <mergeCell ref="E13:K15"/>
    <mergeCell ref="D5:O5"/>
    <mergeCell ref="L13:L15"/>
    <mergeCell ref="M13:M15"/>
    <mergeCell ref="N13:N15"/>
    <mergeCell ref="P13:P15"/>
    <mergeCell ref="O13:O15"/>
    <mergeCell ref="D6:O6"/>
    <mergeCell ref="B10:C10"/>
    <mergeCell ref="D10:F10"/>
    <mergeCell ref="G10:K10"/>
    <mergeCell ref="L10:Q10"/>
    <mergeCell ref="B9:Q9"/>
    <mergeCell ref="B1:D1"/>
    <mergeCell ref="K1:Q1"/>
    <mergeCell ref="B2:D2"/>
    <mergeCell ref="K2:Q2"/>
    <mergeCell ref="D4:O4"/>
  </mergeCells>
  <conditionalFormatting sqref="A1:XFD1048576">
    <cfRule type="containsErrors" dxfId="9" priority="1">
      <formula>ISERROR(A1)</formula>
    </cfRule>
  </conditionalFormatting>
  <pageMargins left="0.70866141732283472" right="0.70866141732283472" top="0.62" bottom="0.74803149606299213" header="0.31496062992125984" footer="0.31496062992125984"/>
  <pageSetup paperSize="9" scale="6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K50"/>
  <sheetViews>
    <sheetView zoomScale="80" zoomScaleNormal="80" workbookViewId="0">
      <selection activeCell="F28" sqref="F28:I28"/>
    </sheetView>
  </sheetViews>
  <sheetFormatPr baseColWidth="10" defaultColWidth="11.44140625" defaultRowHeight="13.8" x14ac:dyDescent="0.3"/>
  <cols>
    <col min="1" max="1" width="11.44140625" style="84"/>
    <col min="2" max="2" width="10.6640625" style="84" customWidth="1"/>
    <col min="3" max="3" width="11.44140625" style="84"/>
    <col min="4" max="4" width="16.33203125" style="84" customWidth="1"/>
    <col min="5" max="5" width="18.44140625" style="84" customWidth="1"/>
    <col min="6" max="7" width="11.44140625" style="84"/>
    <col min="8" max="8" width="20.5546875" style="84" customWidth="1"/>
    <col min="9" max="9" width="8" style="84" customWidth="1"/>
    <col min="10" max="10" width="19.44140625" style="84" customWidth="1"/>
    <col min="11" max="11" width="8.6640625" style="84" customWidth="1"/>
    <col min="12" max="12" width="12.44140625" style="84" customWidth="1"/>
    <col min="13" max="13" width="11.44140625" style="84"/>
    <col min="14" max="14" width="11.44140625" style="84" hidden="1" customWidth="1"/>
    <col min="15" max="15" width="16.33203125" style="84" hidden="1" customWidth="1"/>
    <col min="16" max="16" width="17.6640625" style="84" hidden="1" customWidth="1"/>
    <col min="17" max="17" width="255.77734375" style="84" hidden="1" customWidth="1"/>
    <col min="18" max="18" width="2.44140625" style="84" hidden="1" customWidth="1"/>
    <col min="19" max="19" width="255.77734375" style="84" hidden="1" customWidth="1"/>
    <col min="20" max="37" width="11.44140625" style="84" hidden="1" customWidth="1"/>
    <col min="38" max="39" width="11.44140625" style="84" customWidth="1"/>
    <col min="40" max="16384" width="11.44140625" style="84"/>
  </cols>
  <sheetData>
    <row r="1" spans="2:19" ht="17.399999999999999" x14ac:dyDescent="0.3">
      <c r="C1" s="123" t="s">
        <v>210</v>
      </c>
      <c r="D1" s="105"/>
      <c r="E1" s="105"/>
      <c r="F1" s="105"/>
      <c r="G1" s="123" t="s">
        <v>211</v>
      </c>
      <c r="H1" s="105"/>
      <c r="I1" s="105"/>
      <c r="J1" s="105"/>
      <c r="K1" s="105"/>
      <c r="L1" s="123" t="s">
        <v>212</v>
      </c>
    </row>
    <row r="2" spans="2:19" x14ac:dyDescent="0.3">
      <c r="B2" s="124"/>
    </row>
    <row r="3" spans="2:19" ht="33.75" customHeight="1" x14ac:dyDescent="0.3">
      <c r="C3" s="458" t="s">
        <v>213</v>
      </c>
      <c r="D3" s="458"/>
      <c r="E3" s="458"/>
      <c r="F3" s="458"/>
      <c r="G3" s="458"/>
      <c r="H3" s="458"/>
      <c r="I3" s="458"/>
      <c r="J3" s="458"/>
      <c r="K3" s="458"/>
      <c r="L3" s="458"/>
      <c r="M3" s="125"/>
    </row>
    <row r="4" spans="2:19" ht="2.25" customHeight="1" x14ac:dyDescent="0.3">
      <c r="B4" s="124"/>
    </row>
    <row r="5" spans="2:19" ht="17.399999999999999" x14ac:dyDescent="0.3">
      <c r="C5" s="459" t="s">
        <v>214</v>
      </c>
      <c r="D5" s="459"/>
      <c r="E5" s="459"/>
      <c r="F5" s="459"/>
      <c r="G5" s="459"/>
      <c r="H5" s="459"/>
      <c r="I5" s="459"/>
      <c r="J5" s="459"/>
      <c r="K5" s="459"/>
      <c r="L5" s="459"/>
      <c r="M5" s="123"/>
    </row>
    <row r="6" spans="2:19" ht="17.399999999999999" x14ac:dyDescent="0.3">
      <c r="C6" s="459" t="s">
        <v>215</v>
      </c>
      <c r="D6" s="459"/>
      <c r="E6" s="459"/>
      <c r="F6" s="459"/>
      <c r="G6" s="459"/>
      <c r="H6" s="459"/>
      <c r="I6" s="459"/>
      <c r="J6" s="459"/>
      <c r="K6" s="459"/>
      <c r="L6" s="459"/>
      <c r="M6" s="123"/>
    </row>
    <row r="7" spans="2:19" x14ac:dyDescent="0.3">
      <c r="B7" s="126"/>
    </row>
    <row r="8" spans="2:19" ht="14.4" thickBot="1" x14ac:dyDescent="0.35">
      <c r="B8" s="126"/>
    </row>
    <row r="9" spans="2:19" ht="39" customHeight="1" thickBot="1" x14ac:dyDescent="0.35">
      <c r="C9" s="460" t="s">
        <v>329</v>
      </c>
      <c r="D9" s="461"/>
      <c r="E9" s="461"/>
      <c r="F9" s="461"/>
      <c r="G9" s="461"/>
      <c r="H9" s="461"/>
      <c r="I9" s="461"/>
      <c r="J9" s="461"/>
      <c r="K9" s="461"/>
      <c r="L9" s="462"/>
    </row>
    <row r="10" spans="2:19" x14ac:dyDescent="0.3">
      <c r="B10" s="126"/>
    </row>
    <row r="11" spans="2:19" ht="12.75" customHeight="1" x14ac:dyDescent="0.3">
      <c r="B11" s="126"/>
    </row>
    <row r="12" spans="2:19" ht="28.2" x14ac:dyDescent="0.3">
      <c r="C12" s="463" t="s">
        <v>216</v>
      </c>
      <c r="D12" s="463"/>
      <c r="E12" s="463"/>
      <c r="F12" s="463"/>
      <c r="G12" s="463"/>
      <c r="H12" s="463"/>
      <c r="I12" s="463"/>
      <c r="J12" s="463"/>
      <c r="K12" s="463"/>
      <c r="L12" s="463"/>
    </row>
    <row r="13" spans="2:19" ht="15" customHeight="1" x14ac:dyDescent="0.3">
      <c r="B13" s="124"/>
    </row>
    <row r="14" spans="2:19" ht="24" customHeight="1" x14ac:dyDescent="0.3">
      <c r="D14" s="127"/>
      <c r="E14" s="127"/>
      <c r="F14" s="455" t="s">
        <v>217</v>
      </c>
      <c r="G14" s="456"/>
      <c r="H14" s="457"/>
      <c r="I14" s="128"/>
      <c r="J14" s="127"/>
      <c r="K14" s="127"/>
      <c r="L14" s="127"/>
      <c r="M14" s="129"/>
    </row>
    <row r="15" spans="2:19" ht="28.2" x14ac:dyDescent="0.3">
      <c r="B15" s="130"/>
      <c r="D15" s="131"/>
      <c r="E15" s="131"/>
      <c r="F15" s="464" t="str">
        <f>IF(P17="","",P17)</f>
        <v>Hauts de France</v>
      </c>
      <c r="G15" s="463"/>
      <c r="H15" s="465"/>
      <c r="I15" s="25"/>
      <c r="J15" s="131"/>
      <c r="K15" s="131"/>
      <c r="L15" s="131"/>
    </row>
    <row r="16" spans="2:19" ht="12" customHeight="1" x14ac:dyDescent="0.3">
      <c r="F16" s="466"/>
      <c r="G16" s="467"/>
      <c r="H16" s="468"/>
      <c r="I16" s="25"/>
      <c r="R16" s="84" t="s">
        <v>35</v>
      </c>
      <c r="S16" s="120" t="s">
        <v>482</v>
      </c>
    </row>
    <row r="17" spans="2:34" ht="28.5" customHeight="1" x14ac:dyDescent="0.3">
      <c r="B17" s="124"/>
      <c r="O17" s="84" t="str">
        <f>IF(Tirage!H5="","",Tirage!H5)</f>
        <v>Finale Oise</v>
      </c>
      <c r="P17" s="84" t="str">
        <f>IF(O17="","",VLOOKUP(O17,Tirage!Q29:R30,2,FALSE))</f>
        <v>Hauts de France</v>
      </c>
      <c r="Q17" s="84" t="str">
        <f>IF(P17="","",VLOOKUP(P17,Tirage!R29:S30,2,FALSE))</f>
        <v>a</v>
      </c>
      <c r="R17" s="84" t="s">
        <v>36</v>
      </c>
      <c r="S17" s="84" t="s">
        <v>218</v>
      </c>
      <c r="T17" s="121"/>
      <c r="U17" s="121"/>
      <c r="V17" s="121"/>
      <c r="W17" s="121"/>
      <c r="X17" s="121"/>
      <c r="Y17" s="121"/>
      <c r="Z17" s="121"/>
      <c r="AA17" s="121"/>
      <c r="AB17" s="122"/>
      <c r="AF17" s="122"/>
    </row>
    <row r="18" spans="2:34" ht="27.75" customHeight="1" x14ac:dyDescent="0.3">
      <c r="B18" s="124"/>
      <c r="R18" s="84" t="s">
        <v>38</v>
      </c>
      <c r="S18" s="84" t="s">
        <v>219</v>
      </c>
    </row>
    <row r="19" spans="2:34" ht="23.25" customHeight="1" x14ac:dyDescent="0.3">
      <c r="C19" s="469" t="s">
        <v>220</v>
      </c>
      <c r="D19" s="470"/>
      <c r="E19" s="387" t="str">
        <f>IF(Tirage!H6="","",Tirage!H6)</f>
        <v>CADRE</v>
      </c>
      <c r="F19" s="387"/>
      <c r="G19" s="132"/>
      <c r="H19" s="133" t="s">
        <v>221</v>
      </c>
      <c r="I19" s="387" t="str">
        <f>IF(Tirage!H7="","",Tirage!H7)</f>
        <v>REGIONAL 1</v>
      </c>
      <c r="J19" s="387"/>
      <c r="K19" s="387"/>
      <c r="L19" s="134"/>
    </row>
    <row r="20" spans="2:34" ht="27.75" customHeight="1" x14ac:dyDescent="0.3">
      <c r="C20" s="471" t="s">
        <v>222</v>
      </c>
      <c r="D20" s="472"/>
      <c r="E20" s="473"/>
      <c r="F20" s="473"/>
      <c r="G20" s="105"/>
      <c r="H20" s="135" t="s">
        <v>223</v>
      </c>
      <c r="I20" s="474"/>
      <c r="J20" s="474"/>
      <c r="K20" s="474"/>
      <c r="L20" s="136"/>
    </row>
    <row r="21" spans="2:34" x14ac:dyDescent="0.3">
      <c r="B21" s="124"/>
      <c r="C21" s="137"/>
      <c r="D21" s="138"/>
      <c r="E21" s="138"/>
      <c r="F21" s="138"/>
      <c r="G21" s="138"/>
      <c r="H21" s="138"/>
      <c r="I21" s="138"/>
      <c r="J21" s="138"/>
      <c r="K21" s="138"/>
      <c r="L21" s="139"/>
    </row>
    <row r="22" spans="2:34" ht="34.5" customHeight="1" x14ac:dyDescent="0.3">
      <c r="B22" s="124"/>
    </row>
    <row r="23" spans="2:34" ht="30" customHeight="1" x14ac:dyDescent="0.3">
      <c r="C23" s="475" t="s">
        <v>224</v>
      </c>
      <c r="D23" s="476"/>
      <c r="E23" s="476"/>
      <c r="F23" s="477" t="str">
        <f ca="1">IF('Feuille de résultat'!C16="","",'Feuille de résultat'!C16)</f>
        <v>CREDOT GERALD</v>
      </c>
      <c r="G23" s="477"/>
      <c r="H23" s="477"/>
      <c r="I23" s="477"/>
      <c r="J23" s="133" t="s">
        <v>225</v>
      </c>
      <c r="K23" s="478" t="str">
        <f ca="1">IF('Feuille de résultat'!E16="","",'Feuille de résultat'!E16)</f>
        <v>110380K</v>
      </c>
      <c r="L23" s="479"/>
      <c r="R23" s="84" t="s">
        <v>201</v>
      </c>
      <c r="S23" s="454">
        <v>0</v>
      </c>
      <c r="T23" s="454"/>
      <c r="U23" s="454"/>
      <c r="V23" s="454"/>
      <c r="W23" s="454"/>
      <c r="X23" s="454"/>
      <c r="Y23" s="454"/>
      <c r="Z23" s="84" t="s">
        <v>201</v>
      </c>
      <c r="AA23" s="84" t="s">
        <v>201</v>
      </c>
      <c r="AB23" s="84" t="s">
        <v>201</v>
      </c>
      <c r="AC23" s="84">
        <v>0</v>
      </c>
      <c r="AD23" s="84">
        <v>0</v>
      </c>
      <c r="AF23" s="84" t="s">
        <v>201</v>
      </c>
      <c r="AG23" s="84">
        <v>0</v>
      </c>
      <c r="AH23" s="84">
        <v>0</v>
      </c>
    </row>
    <row r="24" spans="2:34" ht="28.5" customHeight="1" x14ac:dyDescent="0.3">
      <c r="B24" s="140"/>
      <c r="C24" s="490" t="s">
        <v>485</v>
      </c>
      <c r="D24" s="491"/>
      <c r="E24" s="492"/>
      <c r="F24" s="492"/>
      <c r="G24" s="492"/>
      <c r="H24" s="492"/>
      <c r="I24" s="492"/>
      <c r="J24" s="492"/>
      <c r="K24" s="492"/>
      <c r="L24" s="493"/>
      <c r="R24" s="84" t="s">
        <v>201</v>
      </c>
      <c r="S24" s="454">
        <v>0</v>
      </c>
      <c r="T24" s="454"/>
      <c r="U24" s="454"/>
      <c r="V24" s="454"/>
      <c r="W24" s="454"/>
      <c r="X24" s="454"/>
      <c r="Y24" s="454"/>
      <c r="Z24" s="84" t="s">
        <v>201</v>
      </c>
      <c r="AA24" s="84" t="s">
        <v>201</v>
      </c>
      <c r="AB24" s="84" t="s">
        <v>201</v>
      </c>
      <c r="AC24" s="84">
        <v>0</v>
      </c>
      <c r="AD24" s="84">
        <v>0</v>
      </c>
      <c r="AF24" s="84" t="s">
        <v>201</v>
      </c>
      <c r="AG24" s="84">
        <v>0</v>
      </c>
      <c r="AH24" s="84">
        <v>0</v>
      </c>
    </row>
    <row r="25" spans="2:34" ht="31.5" customHeight="1" x14ac:dyDescent="0.3">
      <c r="C25" s="141" t="s">
        <v>226</v>
      </c>
      <c r="D25" s="483" t="str">
        <f ca="1">IF(K23="","",VLOOKUP($K23,Joueurs!A5:C368,3,FALSE))</f>
        <v>A S BEAUVAIS</v>
      </c>
      <c r="E25" s="483"/>
      <c r="F25" s="483"/>
      <c r="G25" s="483"/>
      <c r="H25" s="483"/>
      <c r="I25" s="482" t="s">
        <v>227</v>
      </c>
      <c r="J25" s="482"/>
      <c r="K25" s="480">
        <f ca="1">IF('Feuille de résultat'!O16="","",'Feuille de résultat'!O16)</f>
        <v>3.7209302325581395</v>
      </c>
      <c r="L25" s="481"/>
      <c r="R25" s="84" t="s">
        <v>201</v>
      </c>
      <c r="S25" s="454">
        <v>0</v>
      </c>
      <c r="T25" s="454"/>
      <c r="U25" s="454"/>
      <c r="V25" s="454"/>
      <c r="W25" s="454"/>
      <c r="X25" s="454"/>
      <c r="Y25" s="454"/>
      <c r="Z25" s="84" t="s">
        <v>201</v>
      </c>
      <c r="AA25" s="84" t="s">
        <v>201</v>
      </c>
      <c r="AB25" s="84" t="s">
        <v>201</v>
      </c>
      <c r="AC25" s="84">
        <v>0</v>
      </c>
      <c r="AD25" s="84">
        <v>0</v>
      </c>
      <c r="AF25" s="84" t="s">
        <v>201</v>
      </c>
      <c r="AG25" s="84">
        <v>0</v>
      </c>
      <c r="AH25" s="84">
        <v>0</v>
      </c>
    </row>
    <row r="26" spans="2:34" ht="15" customHeight="1" x14ac:dyDescent="0.3">
      <c r="B26" s="140"/>
      <c r="C26" s="142"/>
      <c r="D26" s="143"/>
      <c r="E26" s="143"/>
      <c r="F26" s="143"/>
      <c r="G26" s="143"/>
      <c r="H26" s="143"/>
      <c r="I26" s="143"/>
      <c r="J26" s="143"/>
      <c r="K26" s="143"/>
      <c r="L26" s="144"/>
      <c r="R26" s="84" t="s">
        <v>201</v>
      </c>
      <c r="S26" s="454">
        <v>0</v>
      </c>
      <c r="T26" s="454"/>
      <c r="U26" s="454"/>
      <c r="V26" s="454"/>
      <c r="W26" s="454"/>
      <c r="X26" s="454"/>
      <c r="Y26" s="454"/>
      <c r="Z26" s="84" t="s">
        <v>201</v>
      </c>
      <c r="AA26" s="84" t="s">
        <v>201</v>
      </c>
      <c r="AB26" s="84" t="s">
        <v>201</v>
      </c>
      <c r="AC26" s="84">
        <v>0</v>
      </c>
      <c r="AD26" s="84">
        <v>0</v>
      </c>
      <c r="AF26" s="84" t="s">
        <v>201</v>
      </c>
      <c r="AG26" s="84">
        <v>0</v>
      </c>
      <c r="AH26" s="84">
        <v>0</v>
      </c>
    </row>
    <row r="27" spans="2:34" ht="15" x14ac:dyDescent="0.3">
      <c r="C27" s="145"/>
      <c r="D27" s="145"/>
      <c r="E27" s="145"/>
      <c r="F27" s="145"/>
      <c r="G27" s="145"/>
      <c r="H27" s="145"/>
      <c r="I27" s="145"/>
      <c r="J27" s="145"/>
      <c r="K27" s="145"/>
      <c r="L27" s="145"/>
      <c r="R27" s="84" t="s">
        <v>201</v>
      </c>
      <c r="S27" s="454">
        <v>0</v>
      </c>
      <c r="T27" s="454"/>
      <c r="U27" s="454"/>
      <c r="V27" s="454"/>
      <c r="W27" s="454"/>
      <c r="X27" s="454"/>
      <c r="Y27" s="454"/>
      <c r="Z27" s="84" t="s">
        <v>201</v>
      </c>
      <c r="AA27" s="84" t="s">
        <v>201</v>
      </c>
      <c r="AB27" s="84" t="s">
        <v>201</v>
      </c>
      <c r="AC27" s="84">
        <v>0</v>
      </c>
      <c r="AD27" s="84">
        <v>0</v>
      </c>
      <c r="AF27" s="84" t="s">
        <v>201</v>
      </c>
      <c r="AG27" s="84">
        <v>0</v>
      </c>
      <c r="AH27" s="84">
        <v>0</v>
      </c>
    </row>
    <row r="28" spans="2:34" ht="30" customHeight="1" x14ac:dyDescent="0.3">
      <c r="B28" s="146"/>
      <c r="C28" s="475" t="s">
        <v>228</v>
      </c>
      <c r="D28" s="476"/>
      <c r="E28" s="476"/>
      <c r="F28" s="477" t="str">
        <f ca="1">IF('Feuille de résultat'!C17="","",'Feuille de résultat'!C17)</f>
        <v>HENWOOD PHILIPPE</v>
      </c>
      <c r="G28" s="477"/>
      <c r="H28" s="477"/>
      <c r="I28" s="477"/>
      <c r="J28" s="133" t="s">
        <v>225</v>
      </c>
      <c r="K28" s="478" t="str">
        <f ca="1">IF('Feuille de résultat'!E17="","",'Feuille de résultat'!E17)</f>
        <v>020697B</v>
      </c>
      <c r="L28" s="479"/>
      <c r="R28" s="84" t="s">
        <v>201</v>
      </c>
      <c r="S28" s="454">
        <v>0</v>
      </c>
      <c r="T28" s="454"/>
      <c r="U28" s="454"/>
      <c r="V28" s="454"/>
      <c r="W28" s="454"/>
      <c r="X28" s="454"/>
      <c r="Y28" s="454"/>
      <c r="Z28" s="84" t="s">
        <v>201</v>
      </c>
      <c r="AA28" s="84" t="s">
        <v>201</v>
      </c>
      <c r="AB28" s="84" t="s">
        <v>201</v>
      </c>
      <c r="AC28" s="84">
        <v>0</v>
      </c>
      <c r="AD28" s="84">
        <v>0</v>
      </c>
      <c r="AF28" s="84" t="s">
        <v>201</v>
      </c>
      <c r="AG28" s="84">
        <v>0</v>
      </c>
      <c r="AH28" s="84">
        <v>0</v>
      </c>
    </row>
    <row r="29" spans="2:34" ht="30" customHeight="1" x14ac:dyDescent="0.3">
      <c r="B29" s="140"/>
      <c r="C29" s="490" t="s">
        <v>485</v>
      </c>
      <c r="D29" s="491"/>
      <c r="E29" s="492"/>
      <c r="F29" s="492"/>
      <c r="G29" s="492"/>
      <c r="H29" s="492"/>
      <c r="I29" s="492"/>
      <c r="J29" s="492"/>
      <c r="K29" s="492"/>
      <c r="L29" s="493"/>
      <c r="R29" s="84">
        <v>0</v>
      </c>
      <c r="S29" s="84">
        <v>0</v>
      </c>
      <c r="T29" s="84">
        <v>0</v>
      </c>
      <c r="U29" s="84">
        <v>0</v>
      </c>
      <c r="V29" s="84">
        <v>0</v>
      </c>
      <c r="W29" s="84">
        <v>0</v>
      </c>
      <c r="X29" s="84">
        <v>0</v>
      </c>
      <c r="Y29" s="84">
        <v>0</v>
      </c>
      <c r="Z29" s="84">
        <v>0</v>
      </c>
      <c r="AA29" s="84">
        <v>0</v>
      </c>
      <c r="AB29" s="84">
        <v>0</v>
      </c>
      <c r="AC29" s="84">
        <v>0</v>
      </c>
      <c r="AD29" s="84">
        <v>0</v>
      </c>
      <c r="AF29" s="84">
        <v>0</v>
      </c>
      <c r="AG29" s="84">
        <v>0</v>
      </c>
      <c r="AH29" s="84">
        <v>0</v>
      </c>
    </row>
    <row r="30" spans="2:34" ht="30" customHeight="1" x14ac:dyDescent="0.3">
      <c r="B30" s="147"/>
      <c r="C30" s="148" t="s">
        <v>229</v>
      </c>
      <c r="D30" s="483" t="str">
        <f ca="1">IF(K28="","",VLOOKUP($K28,Joueurs!A10:C373,3,FALSE))</f>
        <v>BC SAINT JUSTOIS</v>
      </c>
      <c r="E30" s="483"/>
      <c r="F30" s="483"/>
      <c r="G30" s="483"/>
      <c r="H30" s="483"/>
      <c r="I30" s="482" t="s">
        <v>227</v>
      </c>
      <c r="J30" s="482"/>
      <c r="K30" s="480">
        <f ca="1">IF('Feuille de résultat'!O17="","",'Feuille de résultat'!O17)</f>
        <v>4.9811320754716979</v>
      </c>
      <c r="L30" s="481"/>
    </row>
    <row r="31" spans="2:34" ht="15" x14ac:dyDescent="0.3">
      <c r="B31" s="140"/>
      <c r="C31" s="142"/>
      <c r="D31" s="143"/>
      <c r="E31" s="143"/>
      <c r="F31" s="143"/>
      <c r="G31" s="143"/>
      <c r="H31" s="143"/>
      <c r="I31" s="143"/>
      <c r="J31" s="143"/>
      <c r="K31" s="143"/>
      <c r="L31" s="144"/>
    </row>
    <row r="32" spans="2:34" ht="28.5" customHeight="1" x14ac:dyDescent="0.3">
      <c r="B32" s="149"/>
    </row>
    <row r="33" spans="2:13" x14ac:dyDescent="0.3">
      <c r="B33" s="124"/>
      <c r="C33" s="150"/>
      <c r="D33" s="151"/>
      <c r="E33" s="151"/>
      <c r="F33" s="151"/>
      <c r="G33" s="151"/>
      <c r="H33" s="152"/>
      <c r="I33" s="153"/>
      <c r="J33" s="151"/>
      <c r="K33" s="151"/>
      <c r="L33" s="134"/>
    </row>
    <row r="34" spans="2:13" ht="15.75" customHeight="1" x14ac:dyDescent="0.3">
      <c r="C34" s="154" t="s">
        <v>230</v>
      </c>
      <c r="D34" s="508"/>
      <c r="E34" s="508"/>
      <c r="F34" s="135" t="s">
        <v>231</v>
      </c>
      <c r="G34" s="506">
        <f>IF(Tirage!H9="","",Tirage!H9)</f>
        <v>46046</v>
      </c>
      <c r="H34" s="507"/>
      <c r="I34" s="500" t="s">
        <v>232</v>
      </c>
      <c r="J34" s="486"/>
      <c r="K34" s="486"/>
      <c r="L34" s="487"/>
    </row>
    <row r="35" spans="2:13" ht="21.75" customHeight="1" x14ac:dyDescent="0.3">
      <c r="B35" s="140"/>
      <c r="C35" s="509" t="s">
        <v>233</v>
      </c>
      <c r="D35" s="510"/>
      <c r="E35" s="510"/>
      <c r="F35" s="510"/>
      <c r="G35" s="510"/>
      <c r="H35" s="155"/>
      <c r="I35" s="500"/>
      <c r="J35" s="486"/>
      <c r="K35" s="486"/>
      <c r="L35" s="487"/>
    </row>
    <row r="36" spans="2:13" ht="30" customHeight="1" x14ac:dyDescent="0.3">
      <c r="B36" s="140"/>
      <c r="C36" s="484" t="str">
        <f>IF('Feuille de résultat'!M33="","",'Feuille de résultat'!M33)</f>
        <v>CULLATI</v>
      </c>
      <c r="D36" s="485"/>
      <c r="E36" s="485"/>
      <c r="F36" s="485"/>
      <c r="G36" s="485"/>
      <c r="H36" s="155"/>
      <c r="I36" s="156"/>
      <c r="J36" s="486"/>
      <c r="K36" s="486"/>
      <c r="L36" s="487"/>
    </row>
    <row r="37" spans="2:13" ht="26.25" customHeight="1" x14ac:dyDescent="0.3">
      <c r="C37" s="488"/>
      <c r="D37" s="489"/>
      <c r="E37" s="489"/>
      <c r="F37" s="489"/>
      <c r="G37" s="105"/>
      <c r="H37" s="155"/>
      <c r="I37" s="156"/>
      <c r="J37" s="486"/>
      <c r="K37" s="486"/>
      <c r="L37" s="487"/>
    </row>
    <row r="38" spans="2:13" ht="18" customHeight="1" x14ac:dyDescent="0.3">
      <c r="B38" s="140"/>
      <c r="C38" s="157"/>
      <c r="D38" s="103" t="s">
        <v>234</v>
      </c>
      <c r="E38" s="105"/>
      <c r="F38" s="105"/>
      <c r="G38" s="105"/>
      <c r="H38" s="155"/>
      <c r="I38" s="500" t="s">
        <v>235</v>
      </c>
      <c r="J38" s="486"/>
      <c r="K38" s="486"/>
      <c r="L38" s="487"/>
    </row>
    <row r="39" spans="2:13" ht="54" customHeight="1" x14ac:dyDescent="0.3">
      <c r="B39" s="140"/>
      <c r="C39" s="158"/>
      <c r="H39" s="155"/>
      <c r="I39" s="156"/>
      <c r="L39" s="136"/>
    </row>
    <row r="40" spans="2:13" x14ac:dyDescent="0.3">
      <c r="C40" s="159"/>
      <c r="D40" s="138"/>
      <c r="E40" s="138"/>
      <c r="F40" s="138"/>
      <c r="G40" s="138"/>
      <c r="H40" s="160"/>
      <c r="I40" s="161"/>
      <c r="J40" s="138"/>
      <c r="K40" s="138"/>
      <c r="L40" s="139"/>
    </row>
    <row r="41" spans="2:13" x14ac:dyDescent="0.3">
      <c r="B41" s="140"/>
      <c r="C41" s="119"/>
    </row>
    <row r="42" spans="2:13" ht="27.75" customHeight="1" x14ac:dyDescent="0.3">
      <c r="B42" s="140"/>
      <c r="C42" s="119"/>
    </row>
    <row r="43" spans="2:13" ht="21" customHeight="1" x14ac:dyDescent="0.3">
      <c r="B43" s="126"/>
      <c r="C43" s="501" t="s">
        <v>483</v>
      </c>
      <c r="D43" s="502"/>
      <c r="E43" s="162"/>
      <c r="F43" s="162"/>
      <c r="G43" s="162"/>
      <c r="H43" s="162"/>
      <c r="I43" s="162"/>
      <c r="J43" s="162"/>
      <c r="K43" s="162"/>
      <c r="L43" s="163"/>
    </row>
    <row r="44" spans="2:13" ht="72" customHeight="1" x14ac:dyDescent="0.3">
      <c r="C44" s="503" t="str">
        <f>IF(Q17="","",Q17)</f>
        <v>a</v>
      </c>
      <c r="D44" s="504"/>
      <c r="E44" s="504"/>
      <c r="F44" s="504"/>
      <c r="G44" s="504"/>
      <c r="H44" s="504"/>
      <c r="I44" s="504"/>
      <c r="J44" s="504"/>
      <c r="K44" s="504"/>
      <c r="L44" s="505"/>
      <c r="M44" s="140"/>
    </row>
    <row r="45" spans="2:13" s="119" customFormat="1" ht="24.9" customHeight="1" x14ac:dyDescent="0.3">
      <c r="C45" s="503" t="s">
        <v>486</v>
      </c>
      <c r="D45" s="504"/>
      <c r="E45" s="504"/>
      <c r="F45" s="504"/>
      <c r="G45" s="504"/>
      <c r="H45" s="504"/>
      <c r="I45" s="504"/>
      <c r="J45" s="504"/>
      <c r="K45" s="504"/>
      <c r="L45" s="505"/>
      <c r="M45" s="140"/>
    </row>
    <row r="46" spans="2:13" ht="24.9" customHeight="1" x14ac:dyDescent="0.3">
      <c r="B46" s="126"/>
      <c r="C46" s="503"/>
      <c r="D46" s="504"/>
      <c r="E46" s="504"/>
      <c r="F46" s="504"/>
      <c r="G46" s="504"/>
      <c r="H46" s="504"/>
      <c r="I46" s="504"/>
      <c r="J46" s="504"/>
      <c r="K46" s="504"/>
      <c r="L46" s="505"/>
    </row>
    <row r="47" spans="2:13" ht="24.9" customHeight="1" x14ac:dyDescent="0.3">
      <c r="B47" s="126"/>
      <c r="C47" s="503"/>
      <c r="D47" s="504"/>
      <c r="E47" s="504"/>
      <c r="F47" s="504"/>
      <c r="G47" s="504"/>
      <c r="H47" s="504"/>
      <c r="I47" s="504"/>
      <c r="J47" s="504"/>
      <c r="K47" s="504"/>
      <c r="L47" s="505"/>
    </row>
    <row r="48" spans="2:13" ht="20.25" customHeight="1" x14ac:dyDescent="0.3">
      <c r="C48" s="494" t="s">
        <v>484</v>
      </c>
      <c r="D48" s="495"/>
      <c r="E48" s="495"/>
      <c r="F48" s="495"/>
      <c r="G48" s="495"/>
      <c r="H48" s="495"/>
      <c r="I48" s="495"/>
      <c r="J48" s="495"/>
      <c r="K48" s="495"/>
      <c r="L48" s="496"/>
    </row>
    <row r="49" spans="3:12" ht="6" customHeight="1" x14ac:dyDescent="0.3">
      <c r="C49" s="494"/>
      <c r="D49" s="495"/>
      <c r="E49" s="495"/>
      <c r="F49" s="495"/>
      <c r="G49" s="495"/>
      <c r="H49" s="495"/>
      <c r="I49" s="495"/>
      <c r="J49" s="495"/>
      <c r="K49" s="495"/>
      <c r="L49" s="496"/>
    </row>
    <row r="50" spans="3:12" x14ac:dyDescent="0.3">
      <c r="C50" s="497"/>
      <c r="D50" s="498"/>
      <c r="E50" s="498"/>
      <c r="F50" s="498"/>
      <c r="G50" s="498"/>
      <c r="H50" s="498"/>
      <c r="I50" s="498"/>
      <c r="J50" s="498"/>
      <c r="K50" s="498"/>
      <c r="L50" s="499"/>
    </row>
  </sheetData>
  <sheetProtection selectLockedCells="1"/>
  <mergeCells count="47">
    <mergeCell ref="S28:Y28"/>
    <mergeCell ref="C29:D29"/>
    <mergeCell ref="E29:L29"/>
    <mergeCell ref="C48:L50"/>
    <mergeCell ref="C28:E28"/>
    <mergeCell ref="F28:I28"/>
    <mergeCell ref="K28:L28"/>
    <mergeCell ref="D30:H30"/>
    <mergeCell ref="I38:L38"/>
    <mergeCell ref="C43:D43"/>
    <mergeCell ref="C44:L44"/>
    <mergeCell ref="G34:H34"/>
    <mergeCell ref="C45:L47"/>
    <mergeCell ref="D34:E34"/>
    <mergeCell ref="I34:L35"/>
    <mergeCell ref="C35:G35"/>
    <mergeCell ref="C36:G36"/>
    <mergeCell ref="J36:L37"/>
    <mergeCell ref="C37:F37"/>
    <mergeCell ref="C24:D24"/>
    <mergeCell ref="E24:L24"/>
    <mergeCell ref="S25:Y25"/>
    <mergeCell ref="S26:Y26"/>
    <mergeCell ref="S27:Y27"/>
    <mergeCell ref="D25:H25"/>
    <mergeCell ref="I25:J25"/>
    <mergeCell ref="F23:I23"/>
    <mergeCell ref="K23:L23"/>
    <mergeCell ref="K25:L25"/>
    <mergeCell ref="I30:J30"/>
    <mergeCell ref="K30:L30"/>
    <mergeCell ref="S23:Y23"/>
    <mergeCell ref="S24:Y24"/>
    <mergeCell ref="F14:H14"/>
    <mergeCell ref="C3:L3"/>
    <mergeCell ref="C5:L5"/>
    <mergeCell ref="C6:L6"/>
    <mergeCell ref="C9:L9"/>
    <mergeCell ref="C12:L12"/>
    <mergeCell ref="F15:H16"/>
    <mergeCell ref="C19:D19"/>
    <mergeCell ref="E19:F19"/>
    <mergeCell ref="I19:K19"/>
    <mergeCell ref="C20:D20"/>
    <mergeCell ref="E20:F20"/>
    <mergeCell ref="I20:K20"/>
    <mergeCell ref="C23:E23"/>
  </mergeCells>
  <printOptions horizontalCentered="1"/>
  <pageMargins left="0.59055118110236227" right="0.43307086614173229" top="0.74803149606299213" bottom="0.74803149606299213" header="0.31496062992125984" footer="0.31496062992125984"/>
  <pageSetup paperSize="9" scale="6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36"/>
  <sheetViews>
    <sheetView workbookViewId="0">
      <selection activeCell="C1" sqref="C1:E1"/>
    </sheetView>
  </sheetViews>
  <sheetFormatPr baseColWidth="10" defaultColWidth="11.44140625" defaultRowHeight="14.4" x14ac:dyDescent="0.3"/>
  <cols>
    <col min="1" max="1" width="11.44140625" style="170"/>
    <col min="2" max="2" width="15.88671875" style="170" customWidth="1"/>
    <col min="3" max="3" width="28.6640625" style="170" customWidth="1"/>
    <col min="4" max="4" width="25.77734375" style="170" customWidth="1"/>
    <col min="5" max="13" width="11.44140625" style="170"/>
    <col min="14" max="14" width="0" style="170" hidden="1" customWidth="1"/>
    <col min="15" max="16384" width="11.44140625" style="170"/>
  </cols>
  <sheetData>
    <row r="1" spans="1:14" ht="92.25" customHeight="1" x14ac:dyDescent="0.7">
      <c r="A1" s="169"/>
      <c r="C1" s="550" t="s">
        <v>899</v>
      </c>
      <c r="D1" s="550"/>
      <c r="E1" s="550"/>
    </row>
    <row r="2" spans="1:14" ht="31.2" x14ac:dyDescent="0.3">
      <c r="A2" s="551" t="s">
        <v>900</v>
      </c>
      <c r="B2" s="551"/>
      <c r="C2" s="551"/>
      <c r="D2" s="551"/>
      <c r="E2" s="551"/>
      <c r="F2" s="551"/>
      <c r="G2" s="551"/>
    </row>
    <row r="3" spans="1:14" ht="24.9" customHeight="1" x14ac:dyDescent="0.3">
      <c r="A3" s="552" t="s">
        <v>901</v>
      </c>
      <c r="B3" s="552"/>
      <c r="C3" s="513" t="s">
        <v>970</v>
      </c>
      <c r="D3" s="514"/>
      <c r="E3" s="512"/>
      <c r="F3" s="512"/>
      <c r="G3" s="512"/>
      <c r="H3" s="183" t="s">
        <v>973</v>
      </c>
      <c r="J3" s="183"/>
    </row>
    <row r="4" spans="1:14" s="171" customFormat="1" ht="24.9" customHeight="1" x14ac:dyDescent="0.3">
      <c r="A4" s="553" t="s">
        <v>902</v>
      </c>
      <c r="B4" s="554"/>
      <c r="C4" s="185" t="s">
        <v>903</v>
      </c>
      <c r="D4" s="557"/>
      <c r="E4" s="557"/>
      <c r="F4" s="557"/>
      <c r="G4" s="557"/>
      <c r="H4" s="183" t="s">
        <v>971</v>
      </c>
      <c r="J4" s="184"/>
    </row>
    <row r="5" spans="1:14" s="171" customFormat="1" ht="24.9" customHeight="1" x14ac:dyDescent="0.3">
      <c r="A5" s="555"/>
      <c r="B5" s="556"/>
      <c r="C5" s="185" t="s">
        <v>904</v>
      </c>
      <c r="D5" s="557"/>
      <c r="E5" s="557"/>
      <c r="F5" s="557"/>
      <c r="G5" s="557"/>
      <c r="H5" s="183" t="s">
        <v>972</v>
      </c>
      <c r="J5" s="184"/>
    </row>
    <row r="6" spans="1:14" x14ac:dyDescent="0.3">
      <c r="A6" s="172"/>
    </row>
    <row r="7" spans="1:14" s="171" customFormat="1" ht="31.2" x14ac:dyDescent="0.3">
      <c r="A7" s="547" t="s">
        <v>905</v>
      </c>
      <c r="B7" s="547"/>
      <c r="C7" s="548" t="s">
        <v>190</v>
      </c>
      <c r="D7" s="549"/>
      <c r="E7" s="548" t="s">
        <v>6</v>
      </c>
      <c r="F7" s="549"/>
      <c r="G7" s="182" t="s">
        <v>906</v>
      </c>
    </row>
    <row r="8" spans="1:14" s="171" customFormat="1" ht="27.75" customHeight="1" x14ac:dyDescent="0.3">
      <c r="A8" s="524" t="s">
        <v>907</v>
      </c>
      <c r="B8" s="525"/>
      <c r="C8" s="526" t="str">
        <f>IF(Tirage!H6="","",Tirage!H6)</f>
        <v>CADRE</v>
      </c>
      <c r="D8" s="527"/>
      <c r="E8" s="526" t="str">
        <f>IF(Tirage!H7="","",Tirage!H7)</f>
        <v>REGIONAL 1</v>
      </c>
      <c r="F8" s="527"/>
      <c r="G8" s="181" t="s">
        <v>909</v>
      </c>
    </row>
    <row r="9" spans="1:14" ht="7.5" customHeight="1" x14ac:dyDescent="0.3">
      <c r="A9" s="173"/>
    </row>
    <row r="10" spans="1:14" ht="23.4" x14ac:dyDescent="0.3">
      <c r="A10" s="528"/>
      <c r="B10" s="529" t="s">
        <v>910</v>
      </c>
      <c r="C10" s="529"/>
      <c r="D10" s="529"/>
      <c r="E10" s="529"/>
      <c r="F10" s="530"/>
      <c r="G10" s="530"/>
    </row>
    <row r="11" spans="1:14" ht="15" customHeight="1" x14ac:dyDescent="0.3">
      <c r="A11" s="528"/>
      <c r="B11" s="531" t="s">
        <v>911</v>
      </c>
      <c r="C11" s="532"/>
      <c r="D11" s="532"/>
      <c r="E11" s="533"/>
      <c r="F11" s="534" t="s">
        <v>912</v>
      </c>
      <c r="G11" s="535"/>
      <c r="N11" s="170" t="s">
        <v>913</v>
      </c>
    </row>
    <row r="12" spans="1:14" ht="15" customHeight="1" x14ac:dyDescent="0.3">
      <c r="A12" s="528"/>
      <c r="B12" s="540" t="s">
        <v>914</v>
      </c>
      <c r="C12" s="541"/>
      <c r="D12" s="541"/>
      <c r="E12" s="542"/>
      <c r="F12" s="536"/>
      <c r="G12" s="537"/>
      <c r="N12" s="170" t="s">
        <v>915</v>
      </c>
    </row>
    <row r="13" spans="1:14" ht="15" customHeight="1" x14ac:dyDescent="0.3">
      <c r="A13" s="528"/>
      <c r="B13" s="540" t="s">
        <v>916</v>
      </c>
      <c r="C13" s="541"/>
      <c r="D13" s="541"/>
      <c r="E13" s="542"/>
      <c r="F13" s="536"/>
      <c r="G13" s="537"/>
      <c r="N13" s="170" t="s">
        <v>917</v>
      </c>
    </row>
    <row r="14" spans="1:14" ht="15" customHeight="1" x14ac:dyDescent="0.3">
      <c r="A14" s="528"/>
      <c r="B14" s="543" t="s">
        <v>918</v>
      </c>
      <c r="C14" s="544"/>
      <c r="D14" s="544"/>
      <c r="E14" s="545"/>
      <c r="F14" s="538"/>
      <c r="G14" s="539"/>
      <c r="N14" s="170" t="s">
        <v>919</v>
      </c>
    </row>
    <row r="15" spans="1:14" ht="24" x14ac:dyDescent="0.3">
      <c r="A15" s="174"/>
      <c r="B15" s="174" t="s">
        <v>3</v>
      </c>
      <c r="C15" s="174" t="s">
        <v>920</v>
      </c>
      <c r="D15" s="174" t="s">
        <v>921</v>
      </c>
      <c r="E15" s="174" t="s">
        <v>922</v>
      </c>
      <c r="F15" s="174" t="s">
        <v>923</v>
      </c>
      <c r="G15" s="174" t="s">
        <v>153</v>
      </c>
      <c r="N15" s="170" t="s">
        <v>924</v>
      </c>
    </row>
    <row r="16" spans="1:14" ht="24.9" customHeight="1" x14ac:dyDescent="0.3">
      <c r="A16" s="546" t="s">
        <v>925</v>
      </c>
      <c r="B16" s="546" t="s">
        <v>926</v>
      </c>
      <c r="C16" s="175" t="s">
        <v>927</v>
      </c>
      <c r="D16" s="176" t="s">
        <v>928</v>
      </c>
      <c r="E16" s="546"/>
      <c r="F16" s="523" t="s">
        <v>929</v>
      </c>
      <c r="G16" s="523">
        <v>12.58</v>
      </c>
    </row>
    <row r="17" spans="1:7" ht="24.9" customHeight="1" x14ac:dyDescent="0.3">
      <c r="A17" s="546"/>
      <c r="B17" s="546"/>
      <c r="C17" s="175" t="s">
        <v>930</v>
      </c>
      <c r="D17" s="175">
        <v>987654321</v>
      </c>
      <c r="E17" s="546"/>
      <c r="F17" s="523"/>
      <c r="G17" s="523"/>
    </row>
    <row r="18" spans="1:7" s="171" customFormat="1" ht="24.9" customHeight="1" x14ac:dyDescent="0.3">
      <c r="A18" s="186" t="s">
        <v>931</v>
      </c>
      <c r="B18" s="187" t="str">
        <f ca="1">IF('Feuille de résultat'!E16="","",'Feuille de résultat'!E16)</f>
        <v>110380K</v>
      </c>
      <c r="C18" s="182" t="str">
        <f ca="1">IF('Feuille de résultat'!C16="","",'Feuille de résultat'!C16)</f>
        <v>CREDOT GERALD</v>
      </c>
      <c r="D18" s="188"/>
      <c r="E18" s="182"/>
      <c r="F18" s="189" t="str">
        <f>IF('Feuille de résultat'!B16="","",'Feuille de résultat'!B16)</f>
        <v>1er</v>
      </c>
      <c r="G18" s="190">
        <f ca="1">IF('Feuille de résultat'!O16="","",'Feuille de résultat'!O16)</f>
        <v>3.7209302325581395</v>
      </c>
    </row>
    <row r="19" spans="1:7" s="171" customFormat="1" ht="24.9" customHeight="1" x14ac:dyDescent="0.3">
      <c r="A19" s="191" t="s">
        <v>932</v>
      </c>
      <c r="B19" s="187" t="str">
        <f ca="1">IF('Feuille de résultat'!E17="","",'Feuille de résultat'!E17)</f>
        <v>020697B</v>
      </c>
      <c r="C19" s="182" t="str">
        <f ca="1">IF('Feuille de résultat'!C17="","",'Feuille de résultat'!C17)</f>
        <v>HENWOOD PHILIPPE</v>
      </c>
      <c r="D19" s="192"/>
      <c r="E19" s="192"/>
      <c r="F19" s="189" t="str">
        <f>IF('Feuille de résultat'!B17="","",'Feuille de résultat'!B17)</f>
        <v>2ème</v>
      </c>
      <c r="G19" s="190">
        <f ca="1">IF('Feuille de résultat'!O17="","",'Feuille de résultat'!O17)</f>
        <v>4.9811320754716979</v>
      </c>
    </row>
    <row r="20" spans="1:7" x14ac:dyDescent="0.3">
      <c r="A20" s="177"/>
    </row>
    <row r="21" spans="1:7" ht="64.5" customHeight="1" x14ac:dyDescent="0.3">
      <c r="A21" s="518" t="s">
        <v>933</v>
      </c>
      <c r="B21" s="518"/>
      <c r="C21" s="518"/>
      <c r="D21" s="518"/>
      <c r="E21" s="518"/>
      <c r="F21" s="518"/>
      <c r="G21" s="518"/>
    </row>
    <row r="22" spans="1:7" x14ac:dyDescent="0.3">
      <c r="A22" s="177"/>
    </row>
    <row r="23" spans="1:7" x14ac:dyDescent="0.3">
      <c r="A23" s="519" t="s">
        <v>934</v>
      </c>
      <c r="B23" s="520"/>
      <c r="C23" s="521" t="s">
        <v>935</v>
      </c>
      <c r="D23" s="521"/>
      <c r="E23" s="521"/>
      <c r="F23" s="521"/>
      <c r="G23" s="521"/>
    </row>
    <row r="24" spans="1:7" x14ac:dyDescent="0.3">
      <c r="A24" s="520"/>
      <c r="B24" s="520"/>
      <c r="C24" s="522" t="s">
        <v>936</v>
      </c>
      <c r="D24" s="522"/>
      <c r="E24" s="522"/>
      <c r="F24" s="522"/>
      <c r="G24" s="522"/>
    </row>
    <row r="25" spans="1:7" ht="28.8" x14ac:dyDescent="0.3">
      <c r="A25" s="178" t="s">
        <v>937</v>
      </c>
      <c r="B25" s="515" t="s">
        <v>938</v>
      </c>
      <c r="C25" s="515"/>
      <c r="D25" s="515" t="s">
        <v>939</v>
      </c>
      <c r="E25" s="515"/>
      <c r="F25" s="517" t="s">
        <v>940</v>
      </c>
      <c r="G25" s="517"/>
    </row>
    <row r="26" spans="1:7" x14ac:dyDescent="0.3">
      <c r="A26" s="178" t="s">
        <v>941</v>
      </c>
      <c r="B26" s="515" t="s">
        <v>942</v>
      </c>
      <c r="C26" s="515"/>
      <c r="D26" s="516" t="s">
        <v>943</v>
      </c>
      <c r="E26" s="516"/>
      <c r="F26" s="517" t="s">
        <v>974</v>
      </c>
      <c r="G26" s="517"/>
    </row>
    <row r="27" spans="1:7" x14ac:dyDescent="0.3">
      <c r="A27" s="178" t="s">
        <v>908</v>
      </c>
      <c r="B27" s="515" t="s">
        <v>944</v>
      </c>
      <c r="C27" s="515"/>
      <c r="D27" s="516" t="s">
        <v>945</v>
      </c>
      <c r="E27" s="516"/>
      <c r="F27" s="517" t="s">
        <v>946</v>
      </c>
      <c r="G27" s="517"/>
    </row>
    <row r="28" spans="1:7" x14ac:dyDescent="0.3">
      <c r="A28" s="178" t="s">
        <v>947</v>
      </c>
      <c r="B28" s="515" t="s">
        <v>948</v>
      </c>
      <c r="C28" s="515"/>
      <c r="D28" s="516" t="s">
        <v>949</v>
      </c>
      <c r="E28" s="516"/>
      <c r="F28" s="517" t="s">
        <v>975</v>
      </c>
      <c r="G28" s="517"/>
    </row>
    <row r="29" spans="1:7" x14ac:dyDescent="0.3">
      <c r="A29" s="178" t="s">
        <v>950</v>
      </c>
      <c r="B29" s="515" t="s">
        <v>951</v>
      </c>
      <c r="C29" s="515"/>
      <c r="D29" s="516" t="s">
        <v>952</v>
      </c>
      <c r="E29" s="516"/>
      <c r="F29" s="517" t="s">
        <v>953</v>
      </c>
      <c r="G29" s="517"/>
    </row>
    <row r="30" spans="1:7" x14ac:dyDescent="0.3">
      <c r="A30" s="178" t="s">
        <v>954</v>
      </c>
      <c r="B30" s="515" t="s">
        <v>955</v>
      </c>
      <c r="C30" s="515"/>
      <c r="D30" s="516" t="s">
        <v>956</v>
      </c>
      <c r="E30" s="516"/>
      <c r="F30" s="517" t="s">
        <v>957</v>
      </c>
      <c r="G30" s="517"/>
    </row>
    <row r="31" spans="1:7" ht="28.8" x14ac:dyDescent="0.3">
      <c r="A31" s="178" t="s">
        <v>958</v>
      </c>
      <c r="B31" s="515" t="s">
        <v>959</v>
      </c>
      <c r="C31" s="515"/>
      <c r="D31" s="516" t="s">
        <v>960</v>
      </c>
      <c r="E31" s="516"/>
      <c r="F31" s="517" t="s">
        <v>976</v>
      </c>
      <c r="G31" s="517"/>
    </row>
    <row r="32" spans="1:7" x14ac:dyDescent="0.3">
      <c r="A32" s="179"/>
    </row>
    <row r="33" spans="1:7" ht="57" customHeight="1" x14ac:dyDescent="0.3">
      <c r="A33" s="511" t="s">
        <v>961</v>
      </c>
      <c r="B33" s="511"/>
      <c r="C33" s="511"/>
      <c r="D33" s="511"/>
      <c r="E33" s="511"/>
      <c r="F33" s="511"/>
      <c r="G33" s="511"/>
    </row>
    <row r="34" spans="1:7" x14ac:dyDescent="0.3">
      <c r="A34" s="180"/>
    </row>
    <row r="35" spans="1:7" ht="33" customHeight="1" x14ac:dyDescent="0.3">
      <c r="A35" s="511" t="s">
        <v>962</v>
      </c>
      <c r="B35" s="511"/>
      <c r="C35" s="511"/>
      <c r="D35" s="511"/>
      <c r="E35" s="511"/>
      <c r="F35" s="511"/>
      <c r="G35" s="511"/>
    </row>
    <row r="36" spans="1:7" x14ac:dyDescent="0.3">
      <c r="A36" s="173"/>
    </row>
  </sheetData>
  <mergeCells count="54">
    <mergeCell ref="A7:B7"/>
    <mergeCell ref="C7:D7"/>
    <mergeCell ref="E7:F7"/>
    <mergeCell ref="C1:E1"/>
    <mergeCell ref="A2:G2"/>
    <mergeCell ref="A3:B3"/>
    <mergeCell ref="A4:B5"/>
    <mergeCell ref="D4:G4"/>
    <mergeCell ref="D5:G5"/>
    <mergeCell ref="G16:G17"/>
    <mergeCell ref="A8:B8"/>
    <mergeCell ref="C8:D8"/>
    <mergeCell ref="E8:F8"/>
    <mergeCell ref="A10:A14"/>
    <mergeCell ref="B10:E10"/>
    <mergeCell ref="F10:G10"/>
    <mergeCell ref="B11:E11"/>
    <mergeCell ref="F11:G14"/>
    <mergeCell ref="B12:E12"/>
    <mergeCell ref="B13:E13"/>
    <mergeCell ref="B14:E14"/>
    <mergeCell ref="A16:A17"/>
    <mergeCell ref="B16:B17"/>
    <mergeCell ref="E16:E17"/>
    <mergeCell ref="F16:F17"/>
    <mergeCell ref="A21:G21"/>
    <mergeCell ref="A23:B24"/>
    <mergeCell ref="C23:G23"/>
    <mergeCell ref="C24:G24"/>
    <mergeCell ref="B25:C25"/>
    <mergeCell ref="D25:E25"/>
    <mergeCell ref="F25:G25"/>
    <mergeCell ref="B26:C26"/>
    <mergeCell ref="D26:E26"/>
    <mergeCell ref="F26:G26"/>
    <mergeCell ref="B27:C27"/>
    <mergeCell ref="D27:E27"/>
    <mergeCell ref="F27:G27"/>
    <mergeCell ref="A33:G33"/>
    <mergeCell ref="A35:G35"/>
    <mergeCell ref="E3:G3"/>
    <mergeCell ref="C3:D3"/>
    <mergeCell ref="B30:C30"/>
    <mergeCell ref="D30:E30"/>
    <mergeCell ref="F30:G30"/>
    <mergeCell ref="B31:C31"/>
    <mergeCell ref="D31:E31"/>
    <mergeCell ref="F31:G31"/>
    <mergeCell ref="B28:C28"/>
    <mergeCell ref="D28:E28"/>
    <mergeCell ref="F28:G28"/>
    <mergeCell ref="B29:C29"/>
    <mergeCell ref="D29:E29"/>
    <mergeCell ref="F29:G29"/>
  </mergeCells>
  <conditionalFormatting sqref="A1:XFD17 A18:C18 E18:XFD18 A19:XFD1048576">
    <cfRule type="containsErrors" dxfId="8" priority="4">
      <formula>ISERROR(A1)</formula>
    </cfRule>
  </conditionalFormatting>
  <conditionalFormatting sqref="D18:D19">
    <cfRule type="containsBlanks" dxfId="7" priority="1">
      <formula>LEN(TRIM(D18))=0</formula>
    </cfRule>
  </conditionalFormatting>
  <conditionalFormatting sqref="D4:G4">
    <cfRule type="containsBlanks" dxfId="6" priority="5">
      <formula>LEN(TRIM(D4))=0</formula>
    </cfRule>
  </conditionalFormatting>
  <conditionalFormatting sqref="E3:G3">
    <cfRule type="containsBlanks" dxfId="5" priority="6">
      <formula>LEN(TRIM(E3))=0</formula>
    </cfRule>
  </conditionalFormatting>
  <dataValidations count="2">
    <dataValidation type="list" errorStyle="warning" allowBlank="1" showInputMessage="1" showErrorMessage="1" error="Choisir dans la liste" sqref="D4:G4" xr:uid="{00000000-0002-0000-0500-000000000000}">
      <formula1>$N$11:$N$15</formula1>
    </dataValidation>
    <dataValidation allowBlank="1" showInputMessage="1" showErrorMessage="1" promptTitle="Choisir le cd" sqref="K6" xr:uid="{00000000-0002-0000-0500-000001000000}"/>
  </dataValidations>
  <hyperlinks>
    <hyperlink ref="D16" r:id="rId1" display="mailto:martin.dupont@gmail.com" xr:uid="{00000000-0004-0000-0500-000000000000}"/>
    <hyperlink ref="C23" r:id="rId2" display="mailto:resultats.billard.ligue.hdf@gmail.com" xr:uid="{00000000-0004-0000-0500-000001000000}"/>
    <hyperlink ref="D26" r:id="rId3" display="mailto:patmolbil@gmail.com" xr:uid="{00000000-0004-0000-0500-000002000000}"/>
    <hyperlink ref="D27" r:id="rId4" display="mailto:mickey.80@wanadoo.fr" xr:uid="{00000000-0004-0000-0500-000003000000}"/>
    <hyperlink ref="D28" r:id="rId5" display="mailto:emmanuel.taffin@orange.fr" xr:uid="{00000000-0004-0000-0500-000004000000}"/>
    <hyperlink ref="D29" r:id="rId6" display="mailto:a.ottevaere@hotmail.fr" xr:uid="{00000000-0004-0000-0500-000005000000}"/>
    <hyperlink ref="D30" r:id="rId7" display="mailto:beabertolotti@hotmail.fr" xr:uid="{00000000-0004-0000-0500-000006000000}"/>
    <hyperlink ref="D31" r:id="rId8" display="mailto:denis.hornain@orange.com?subject=Engagement%20Finale%20Ligue%20Jeunes%20ou%20Féminines" xr:uid="{00000000-0004-0000-0500-000007000000}"/>
  </hyperlinks>
  <pageMargins left="0.70866141732283472" right="0.70866141732283472" top="0.74803149606299213" bottom="0.74803149606299213" header="0.31496062992125984" footer="0.31496062992125984"/>
  <pageSetup paperSize="9" scale="84" orientation="portrait" horizontalDpi="360" verticalDpi="360" r:id="rId9"/>
  <drawing r:id="rId1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945"/>
  <sheetViews>
    <sheetView zoomScaleNormal="100" workbookViewId="0">
      <pane ySplit="2" topLeftCell="A3" activePane="bottomLeft" state="frozen"/>
      <selection pane="bottomLeft" sqref="A1:D1"/>
    </sheetView>
  </sheetViews>
  <sheetFormatPr baseColWidth="10" defaultColWidth="11.44140625" defaultRowHeight="13.8" x14ac:dyDescent="0.3"/>
  <cols>
    <col min="1" max="1" width="20.6640625" style="29" customWidth="1"/>
    <col min="2" max="2" width="35.6640625" style="33" customWidth="1"/>
    <col min="3" max="3" width="40.6640625" style="29" customWidth="1"/>
    <col min="4" max="4" width="20.6640625" style="29" customWidth="1"/>
    <col min="5" max="16384" width="11.44140625" style="29"/>
  </cols>
  <sheetData>
    <row r="1" spans="1:6" ht="39.75" customHeight="1" x14ac:dyDescent="0.3">
      <c r="A1" s="558" t="s">
        <v>979</v>
      </c>
      <c r="B1" s="559"/>
      <c r="C1" s="559"/>
      <c r="D1" s="560"/>
      <c r="E1" s="561" t="s">
        <v>980</v>
      </c>
      <c r="F1" s="562"/>
    </row>
    <row r="2" spans="1:6" ht="24.9" customHeight="1" x14ac:dyDescent="0.3">
      <c r="A2" s="330" t="s">
        <v>384</v>
      </c>
      <c r="B2" s="331" t="s">
        <v>181</v>
      </c>
      <c r="C2" s="331" t="s">
        <v>385</v>
      </c>
      <c r="D2" s="332" t="s">
        <v>386</v>
      </c>
      <c r="E2" s="561"/>
      <c r="F2" s="562"/>
    </row>
    <row r="3" spans="1:6" ht="24.9" customHeight="1" x14ac:dyDescent="0.3">
      <c r="A3" s="30" t="s">
        <v>425</v>
      </c>
      <c r="B3" s="31" t="s">
        <v>643</v>
      </c>
      <c r="C3" s="329" t="s">
        <v>409</v>
      </c>
      <c r="D3" s="329">
        <v>17039</v>
      </c>
      <c r="E3" s="563">
        <v>45924</v>
      </c>
      <c r="F3" s="564"/>
    </row>
    <row r="4" spans="1:6" ht="24.9" customHeight="1" x14ac:dyDescent="0.3">
      <c r="A4" s="329" t="s">
        <v>287</v>
      </c>
      <c r="B4" s="31" t="s">
        <v>644</v>
      </c>
      <c r="C4" s="329" t="s">
        <v>409</v>
      </c>
      <c r="D4" s="329">
        <v>17039</v>
      </c>
    </row>
    <row r="5" spans="1:6" ht="24.9" customHeight="1" x14ac:dyDescent="0.3">
      <c r="A5" s="329" t="s">
        <v>446</v>
      </c>
      <c r="B5" s="31" t="s">
        <v>645</v>
      </c>
      <c r="C5" s="329" t="s">
        <v>409</v>
      </c>
      <c r="D5" s="329">
        <v>17039</v>
      </c>
    </row>
    <row r="6" spans="1:6" ht="24.9" customHeight="1" x14ac:dyDescent="0.3">
      <c r="A6" s="329" t="s">
        <v>382</v>
      </c>
      <c r="B6" s="31" t="s">
        <v>831</v>
      </c>
      <c r="C6" s="329" t="s">
        <v>411</v>
      </c>
      <c r="D6" s="329">
        <v>17041</v>
      </c>
    </row>
    <row r="7" spans="1:6" ht="24.9" customHeight="1" x14ac:dyDescent="0.3">
      <c r="A7" s="329" t="s">
        <v>269</v>
      </c>
      <c r="B7" s="31" t="s">
        <v>737</v>
      </c>
      <c r="C7" s="329" t="s">
        <v>513</v>
      </c>
      <c r="D7" s="329">
        <v>17035</v>
      </c>
    </row>
    <row r="8" spans="1:6" ht="24.9" customHeight="1" x14ac:dyDescent="0.3">
      <c r="A8" s="329" t="s">
        <v>523</v>
      </c>
      <c r="B8" s="31" t="s">
        <v>821</v>
      </c>
      <c r="C8" s="329" t="s">
        <v>415</v>
      </c>
      <c r="D8" s="329">
        <v>17037</v>
      </c>
    </row>
    <row r="9" spans="1:6" ht="24.9" customHeight="1" x14ac:dyDescent="0.3">
      <c r="A9" s="30" t="s">
        <v>761</v>
      </c>
      <c r="B9" s="31" t="s">
        <v>762</v>
      </c>
      <c r="C9" s="329" t="s">
        <v>352</v>
      </c>
      <c r="D9" s="329">
        <v>17036</v>
      </c>
    </row>
    <row r="10" spans="1:6" ht="24.9" customHeight="1" x14ac:dyDescent="0.3">
      <c r="A10" s="329" t="s">
        <v>500</v>
      </c>
      <c r="B10" s="31" t="s">
        <v>631</v>
      </c>
      <c r="C10" s="329" t="s">
        <v>412</v>
      </c>
      <c r="D10" s="329">
        <v>17040</v>
      </c>
    </row>
    <row r="11" spans="1:6" ht="24.9" customHeight="1" x14ac:dyDescent="0.3">
      <c r="A11" s="30" t="s">
        <v>646</v>
      </c>
      <c r="B11" s="31" t="s">
        <v>647</v>
      </c>
      <c r="C11" s="329" t="s">
        <v>409</v>
      </c>
      <c r="D11" s="329">
        <v>17039</v>
      </c>
    </row>
    <row r="12" spans="1:6" ht="24.9" customHeight="1" x14ac:dyDescent="0.3">
      <c r="A12" s="329" t="s">
        <v>517</v>
      </c>
      <c r="B12" s="31" t="s">
        <v>763</v>
      </c>
      <c r="C12" s="329" t="s">
        <v>352</v>
      </c>
      <c r="D12" s="329">
        <v>17036</v>
      </c>
    </row>
    <row r="13" spans="1:6" ht="24.9" customHeight="1" x14ac:dyDescent="0.3">
      <c r="A13" s="30" t="s">
        <v>375</v>
      </c>
      <c r="B13" s="31" t="s">
        <v>764</v>
      </c>
      <c r="C13" s="329" t="s">
        <v>352</v>
      </c>
      <c r="D13" s="329">
        <v>17036</v>
      </c>
    </row>
    <row r="14" spans="1:6" ht="24.9" customHeight="1" x14ac:dyDescent="0.3">
      <c r="A14" s="329" t="s">
        <v>447</v>
      </c>
      <c r="B14" s="31" t="s">
        <v>765</v>
      </c>
      <c r="C14" s="329" t="s">
        <v>352</v>
      </c>
      <c r="D14" s="329">
        <v>17036</v>
      </c>
    </row>
    <row r="15" spans="1:6" ht="24.9" customHeight="1" x14ac:dyDescent="0.3">
      <c r="A15" s="329" t="s">
        <v>426</v>
      </c>
      <c r="B15" s="31" t="s">
        <v>766</v>
      </c>
      <c r="C15" s="329" t="s">
        <v>352</v>
      </c>
      <c r="D15" s="329">
        <v>17036</v>
      </c>
    </row>
    <row r="16" spans="1:6" ht="24.9" customHeight="1" x14ac:dyDescent="0.3">
      <c r="A16" s="30" t="s">
        <v>380</v>
      </c>
      <c r="B16" s="31" t="s">
        <v>767</v>
      </c>
      <c r="C16" s="329" t="s">
        <v>352</v>
      </c>
      <c r="D16" s="329">
        <v>17036</v>
      </c>
    </row>
    <row r="17" spans="1:4" ht="24.9" customHeight="1" x14ac:dyDescent="0.3">
      <c r="A17" s="30" t="s">
        <v>768</v>
      </c>
      <c r="B17" s="31" t="s">
        <v>769</v>
      </c>
      <c r="C17" s="329" t="s">
        <v>352</v>
      </c>
      <c r="D17" s="329">
        <v>17036</v>
      </c>
    </row>
    <row r="18" spans="1:4" ht="24.9" customHeight="1" x14ac:dyDescent="0.3">
      <c r="A18" s="329" t="s">
        <v>381</v>
      </c>
      <c r="B18" s="31" t="s">
        <v>770</v>
      </c>
      <c r="C18" s="329" t="s">
        <v>352</v>
      </c>
      <c r="D18" s="329">
        <v>17036</v>
      </c>
    </row>
    <row r="19" spans="1:4" ht="24.9" customHeight="1" x14ac:dyDescent="0.3">
      <c r="A19" s="329" t="s">
        <v>379</v>
      </c>
      <c r="B19" s="31" t="s">
        <v>771</v>
      </c>
      <c r="C19" s="329" t="s">
        <v>352</v>
      </c>
      <c r="D19" s="329">
        <v>17036</v>
      </c>
    </row>
    <row r="20" spans="1:4" ht="24.9" customHeight="1" x14ac:dyDescent="0.3">
      <c r="A20" s="329" t="s">
        <v>285</v>
      </c>
      <c r="B20" s="31" t="s">
        <v>772</v>
      </c>
      <c r="C20" s="329" t="s">
        <v>352</v>
      </c>
      <c r="D20" s="329">
        <v>17036</v>
      </c>
    </row>
    <row r="21" spans="1:4" ht="24.9" customHeight="1" x14ac:dyDescent="0.3">
      <c r="A21" s="329" t="s">
        <v>524</v>
      </c>
      <c r="B21" s="31" t="s">
        <v>832</v>
      </c>
      <c r="C21" s="329" t="s">
        <v>411</v>
      </c>
      <c r="D21" s="329">
        <v>17041</v>
      </c>
    </row>
    <row r="22" spans="1:4" ht="24.9" customHeight="1" x14ac:dyDescent="0.3">
      <c r="A22" s="30" t="s">
        <v>271</v>
      </c>
      <c r="B22" s="31" t="s">
        <v>738</v>
      </c>
      <c r="C22" s="329" t="s">
        <v>513</v>
      </c>
      <c r="D22" s="329">
        <v>17035</v>
      </c>
    </row>
    <row r="23" spans="1:4" ht="24.9" customHeight="1" x14ac:dyDescent="0.3">
      <c r="A23" s="329" t="s">
        <v>503</v>
      </c>
      <c r="B23" s="31" t="s">
        <v>648</v>
      </c>
      <c r="C23" s="329" t="s">
        <v>409</v>
      </c>
      <c r="D23" s="329">
        <v>17039</v>
      </c>
    </row>
    <row r="24" spans="1:4" ht="24.9" customHeight="1" x14ac:dyDescent="0.3">
      <c r="A24" s="30" t="s">
        <v>372</v>
      </c>
      <c r="B24" s="31" t="s">
        <v>773</v>
      </c>
      <c r="C24" s="329" t="s">
        <v>352</v>
      </c>
      <c r="D24" s="329">
        <v>17036</v>
      </c>
    </row>
    <row r="25" spans="1:4" ht="24.9" customHeight="1" x14ac:dyDescent="0.3">
      <c r="A25" s="329" t="s">
        <v>373</v>
      </c>
      <c r="B25" s="31" t="s">
        <v>774</v>
      </c>
      <c r="C25" s="329" t="s">
        <v>352</v>
      </c>
      <c r="D25" s="329">
        <v>17036</v>
      </c>
    </row>
    <row r="26" spans="1:4" ht="24.9" customHeight="1" x14ac:dyDescent="0.3">
      <c r="A26" s="30" t="s">
        <v>302</v>
      </c>
      <c r="B26" s="31" t="s">
        <v>713</v>
      </c>
      <c r="C26" s="329" t="s">
        <v>414</v>
      </c>
      <c r="D26" s="329">
        <v>17031</v>
      </c>
    </row>
    <row r="27" spans="1:4" ht="24.9" customHeight="1" x14ac:dyDescent="0.3">
      <c r="A27" s="30" t="s">
        <v>305</v>
      </c>
      <c r="B27" s="31" t="s">
        <v>895</v>
      </c>
      <c r="C27" s="329" t="s">
        <v>513</v>
      </c>
      <c r="D27" s="329">
        <v>17035</v>
      </c>
    </row>
    <row r="28" spans="1:4" ht="24.9" customHeight="1" x14ac:dyDescent="0.3">
      <c r="A28" s="30" t="s">
        <v>476</v>
      </c>
      <c r="B28" s="31" t="s">
        <v>714</v>
      </c>
      <c r="C28" s="329" t="s">
        <v>414</v>
      </c>
      <c r="D28" s="329">
        <v>17031</v>
      </c>
    </row>
    <row r="29" spans="1:4" ht="24.9" customHeight="1" x14ac:dyDescent="0.3">
      <c r="A29" s="329" t="s">
        <v>427</v>
      </c>
      <c r="B29" s="31" t="s">
        <v>715</v>
      </c>
      <c r="C29" s="329" t="s">
        <v>414</v>
      </c>
      <c r="D29" s="329">
        <v>17031</v>
      </c>
    </row>
    <row r="30" spans="1:4" ht="24.9" customHeight="1" x14ac:dyDescent="0.3">
      <c r="A30" s="30" t="s">
        <v>739</v>
      </c>
      <c r="B30" s="31" t="s">
        <v>740</v>
      </c>
      <c r="C30" s="329" t="s">
        <v>513</v>
      </c>
      <c r="D30" s="329">
        <v>17035</v>
      </c>
    </row>
    <row r="31" spans="1:4" ht="24.9" customHeight="1" x14ac:dyDescent="0.3">
      <c r="A31" s="30" t="s">
        <v>518</v>
      </c>
      <c r="B31" s="31" t="s">
        <v>775</v>
      </c>
      <c r="C31" s="329" t="s">
        <v>352</v>
      </c>
      <c r="D31" s="329">
        <v>17036</v>
      </c>
    </row>
    <row r="32" spans="1:4" ht="24.9" customHeight="1" x14ac:dyDescent="0.3">
      <c r="A32" s="30" t="s">
        <v>575</v>
      </c>
      <c r="B32" s="31" t="s">
        <v>576</v>
      </c>
      <c r="C32" s="329" t="s">
        <v>410</v>
      </c>
      <c r="D32" s="329">
        <v>17030</v>
      </c>
    </row>
    <row r="33" spans="1:4" ht="24.9" customHeight="1" x14ac:dyDescent="0.3">
      <c r="A33" s="30" t="s">
        <v>776</v>
      </c>
      <c r="B33" s="31" t="s">
        <v>777</v>
      </c>
      <c r="C33" s="329" t="s">
        <v>352</v>
      </c>
      <c r="D33" s="329">
        <v>17036</v>
      </c>
    </row>
    <row r="34" spans="1:4" ht="24.9" customHeight="1" x14ac:dyDescent="0.3">
      <c r="A34" s="30" t="s">
        <v>299</v>
      </c>
      <c r="B34" s="31" t="s">
        <v>649</v>
      </c>
      <c r="C34" s="329" t="s">
        <v>409</v>
      </c>
      <c r="D34" s="329">
        <v>17039</v>
      </c>
    </row>
    <row r="35" spans="1:4" ht="24.9" customHeight="1" x14ac:dyDescent="0.3">
      <c r="A35" s="329" t="s">
        <v>448</v>
      </c>
      <c r="B35" s="31" t="s">
        <v>741</v>
      </c>
      <c r="C35" s="329" t="s">
        <v>513</v>
      </c>
      <c r="D35" s="329">
        <v>17035</v>
      </c>
    </row>
    <row r="36" spans="1:4" ht="24.9" customHeight="1" x14ac:dyDescent="0.3">
      <c r="A36" s="30" t="s">
        <v>252</v>
      </c>
      <c r="B36" s="31" t="s">
        <v>716</v>
      </c>
      <c r="C36" s="329" t="s">
        <v>414</v>
      </c>
      <c r="D36" s="329">
        <v>17031</v>
      </c>
    </row>
    <row r="37" spans="1:4" ht="24.9" customHeight="1" x14ac:dyDescent="0.3">
      <c r="A37" s="329" t="s">
        <v>442</v>
      </c>
      <c r="B37" s="31" t="s">
        <v>717</v>
      </c>
      <c r="C37" s="329" t="s">
        <v>414</v>
      </c>
      <c r="D37" s="329">
        <v>17031</v>
      </c>
    </row>
    <row r="38" spans="1:4" ht="24.9" customHeight="1" x14ac:dyDescent="0.3">
      <c r="A38" s="30" t="s">
        <v>501</v>
      </c>
      <c r="B38" s="31" t="s">
        <v>632</v>
      </c>
      <c r="C38" s="329" t="s">
        <v>412</v>
      </c>
      <c r="D38" s="329">
        <v>17040</v>
      </c>
    </row>
    <row r="39" spans="1:4" ht="24.9" customHeight="1" x14ac:dyDescent="0.3">
      <c r="A39" s="30" t="s">
        <v>297</v>
      </c>
      <c r="B39" s="31" t="s">
        <v>541</v>
      </c>
      <c r="C39" s="329" t="s">
        <v>353</v>
      </c>
      <c r="D39" s="329">
        <v>17026</v>
      </c>
    </row>
    <row r="40" spans="1:4" ht="24.9" customHeight="1" x14ac:dyDescent="0.3">
      <c r="A40" s="30" t="s">
        <v>876</v>
      </c>
      <c r="B40" s="31" t="s">
        <v>877</v>
      </c>
      <c r="C40" s="329" t="s">
        <v>410</v>
      </c>
      <c r="D40" s="329">
        <v>17030</v>
      </c>
    </row>
    <row r="41" spans="1:4" ht="24.9" customHeight="1" x14ac:dyDescent="0.3">
      <c r="A41" s="329" t="s">
        <v>650</v>
      </c>
      <c r="B41" s="31" t="s">
        <v>651</v>
      </c>
      <c r="C41" s="329" t="s">
        <v>409</v>
      </c>
      <c r="D41" s="329">
        <v>17039</v>
      </c>
    </row>
    <row r="42" spans="1:4" ht="24.9" customHeight="1" x14ac:dyDescent="0.3">
      <c r="A42" s="30" t="s">
        <v>428</v>
      </c>
      <c r="B42" s="31" t="s">
        <v>778</v>
      </c>
      <c r="C42" s="329" t="s">
        <v>352</v>
      </c>
      <c r="D42" s="329">
        <v>17036</v>
      </c>
    </row>
    <row r="43" spans="1:4" ht="24.9" customHeight="1" x14ac:dyDescent="0.3">
      <c r="A43" s="329" t="s">
        <v>279</v>
      </c>
      <c r="B43" s="31" t="s">
        <v>742</v>
      </c>
      <c r="C43" s="329" t="s">
        <v>513</v>
      </c>
      <c r="D43" s="329">
        <v>17035</v>
      </c>
    </row>
    <row r="44" spans="1:4" ht="24.9" customHeight="1" x14ac:dyDescent="0.3">
      <c r="A44" s="329" t="s">
        <v>356</v>
      </c>
      <c r="B44" s="31" t="s">
        <v>779</v>
      </c>
      <c r="C44" s="329" t="s">
        <v>352</v>
      </c>
      <c r="D44" s="329">
        <v>17036</v>
      </c>
    </row>
    <row r="45" spans="1:4" ht="24.9" customHeight="1" x14ac:dyDescent="0.3">
      <c r="A45" s="30" t="s">
        <v>477</v>
      </c>
      <c r="B45" s="31" t="s">
        <v>718</v>
      </c>
      <c r="C45" s="329" t="s">
        <v>414</v>
      </c>
      <c r="D45" s="329">
        <v>17031</v>
      </c>
    </row>
    <row r="46" spans="1:4" ht="24.9" customHeight="1" x14ac:dyDescent="0.3">
      <c r="A46" s="30" t="s">
        <v>250</v>
      </c>
      <c r="B46" s="31" t="s">
        <v>652</v>
      </c>
      <c r="C46" s="329" t="s">
        <v>409</v>
      </c>
      <c r="D46" s="329">
        <v>17039</v>
      </c>
    </row>
    <row r="47" spans="1:4" ht="24.9" customHeight="1" x14ac:dyDescent="0.3">
      <c r="A47" s="329" t="s">
        <v>878</v>
      </c>
      <c r="B47" s="31" t="s">
        <v>879</v>
      </c>
      <c r="C47" s="329" t="s">
        <v>413</v>
      </c>
      <c r="D47" s="329">
        <v>17045</v>
      </c>
    </row>
    <row r="48" spans="1:4" ht="24.9" customHeight="1" x14ac:dyDescent="0.3">
      <c r="A48" s="329" t="s">
        <v>306</v>
      </c>
      <c r="B48" s="31" t="s">
        <v>542</v>
      </c>
      <c r="C48" s="329" t="s">
        <v>353</v>
      </c>
      <c r="D48" s="329">
        <v>17026</v>
      </c>
    </row>
    <row r="49" spans="1:4" ht="24.9" customHeight="1" x14ac:dyDescent="0.3">
      <c r="A49" s="329" t="s">
        <v>378</v>
      </c>
      <c r="B49" s="31" t="s">
        <v>577</v>
      </c>
      <c r="C49" s="329" t="s">
        <v>410</v>
      </c>
      <c r="D49" s="329">
        <v>17030</v>
      </c>
    </row>
    <row r="50" spans="1:4" ht="24.9" customHeight="1" x14ac:dyDescent="0.3">
      <c r="A50" s="30" t="s">
        <v>313</v>
      </c>
      <c r="B50" s="31" t="s">
        <v>780</v>
      </c>
      <c r="C50" s="329" t="s">
        <v>352</v>
      </c>
      <c r="D50" s="329">
        <v>17036</v>
      </c>
    </row>
    <row r="51" spans="1:4" ht="24.9" customHeight="1" x14ac:dyDescent="0.3">
      <c r="A51" s="30" t="s">
        <v>449</v>
      </c>
      <c r="B51" s="31" t="s">
        <v>781</v>
      </c>
      <c r="C51" s="329" t="s">
        <v>352</v>
      </c>
      <c r="D51" s="329">
        <v>17036</v>
      </c>
    </row>
    <row r="52" spans="1:4" ht="24.9" customHeight="1" x14ac:dyDescent="0.3">
      <c r="A52" s="329" t="s">
        <v>543</v>
      </c>
      <c r="B52" s="31" t="s">
        <v>544</v>
      </c>
      <c r="C52" s="329" t="s">
        <v>353</v>
      </c>
      <c r="D52" s="329">
        <v>17026</v>
      </c>
    </row>
    <row r="53" spans="1:4" ht="24.9" customHeight="1" x14ac:dyDescent="0.3">
      <c r="A53" s="30" t="s">
        <v>387</v>
      </c>
      <c r="B53" s="31" t="s">
        <v>782</v>
      </c>
      <c r="C53" s="329" t="s">
        <v>352</v>
      </c>
      <c r="D53" s="329">
        <v>17036</v>
      </c>
    </row>
    <row r="54" spans="1:4" ht="24.9" customHeight="1" x14ac:dyDescent="0.3">
      <c r="A54" s="30" t="s">
        <v>887</v>
      </c>
      <c r="B54" s="31" t="s">
        <v>888</v>
      </c>
      <c r="C54" s="329" t="s">
        <v>412</v>
      </c>
      <c r="D54" s="329">
        <v>17040</v>
      </c>
    </row>
    <row r="55" spans="1:4" ht="24.9" customHeight="1" x14ac:dyDescent="0.3">
      <c r="A55" s="30" t="s">
        <v>783</v>
      </c>
      <c r="B55" s="31" t="s">
        <v>784</v>
      </c>
      <c r="C55" s="329" t="s">
        <v>352</v>
      </c>
      <c r="D55" s="329">
        <v>17036</v>
      </c>
    </row>
    <row r="56" spans="1:4" ht="24.9" customHeight="1" x14ac:dyDescent="0.3">
      <c r="A56" s="329" t="s">
        <v>450</v>
      </c>
      <c r="B56" s="31" t="s">
        <v>653</v>
      </c>
      <c r="C56" s="329" t="s">
        <v>409</v>
      </c>
      <c r="D56" s="329">
        <v>17039</v>
      </c>
    </row>
    <row r="57" spans="1:4" ht="24.9" customHeight="1" x14ac:dyDescent="0.3">
      <c r="A57" s="329" t="s">
        <v>889</v>
      </c>
      <c r="B57" s="31" t="s">
        <v>890</v>
      </c>
      <c r="C57" s="329" t="s">
        <v>415</v>
      </c>
      <c r="D57" s="329">
        <v>17037</v>
      </c>
    </row>
    <row r="58" spans="1:4" ht="24.9" customHeight="1" x14ac:dyDescent="0.3">
      <c r="A58" s="30" t="s">
        <v>897</v>
      </c>
      <c r="B58" s="31" t="s">
        <v>654</v>
      </c>
      <c r="C58" s="329" t="s">
        <v>409</v>
      </c>
      <c r="D58" s="329">
        <v>17039</v>
      </c>
    </row>
    <row r="59" spans="1:4" ht="24.9" customHeight="1" x14ac:dyDescent="0.3">
      <c r="A59" s="30" t="s">
        <v>511</v>
      </c>
      <c r="B59" s="31" t="s">
        <v>719</v>
      </c>
      <c r="C59" s="329" t="s">
        <v>513</v>
      </c>
      <c r="D59" s="329">
        <v>17035</v>
      </c>
    </row>
    <row r="60" spans="1:4" ht="24.9" customHeight="1" x14ac:dyDescent="0.3">
      <c r="A60" s="30" t="s">
        <v>429</v>
      </c>
      <c r="B60" s="31" t="s">
        <v>785</v>
      </c>
      <c r="C60" s="329" t="s">
        <v>352</v>
      </c>
      <c r="D60" s="329">
        <v>17036</v>
      </c>
    </row>
    <row r="61" spans="1:4" ht="24.9" customHeight="1" x14ac:dyDescent="0.3">
      <c r="A61" s="329" t="s">
        <v>430</v>
      </c>
      <c r="B61" s="31" t="s">
        <v>578</v>
      </c>
      <c r="C61" s="329" t="s">
        <v>410</v>
      </c>
      <c r="D61" s="329">
        <v>17030</v>
      </c>
    </row>
    <row r="62" spans="1:4" ht="24.9" customHeight="1" x14ac:dyDescent="0.3">
      <c r="A62" s="329" t="s">
        <v>294</v>
      </c>
      <c r="B62" s="31" t="s">
        <v>833</v>
      </c>
      <c r="C62" s="329" t="s">
        <v>411</v>
      </c>
      <c r="D62" s="329">
        <v>17041</v>
      </c>
    </row>
    <row r="63" spans="1:4" ht="24.9" customHeight="1" x14ac:dyDescent="0.3">
      <c r="A63" s="30" t="s">
        <v>280</v>
      </c>
      <c r="B63" s="31" t="s">
        <v>579</v>
      </c>
      <c r="C63" s="329" t="s">
        <v>410</v>
      </c>
      <c r="D63" s="329">
        <v>17030</v>
      </c>
    </row>
    <row r="64" spans="1:4" ht="24.9" customHeight="1" x14ac:dyDescent="0.3">
      <c r="A64" s="30" t="s">
        <v>580</v>
      </c>
      <c r="B64" s="31" t="s">
        <v>581</v>
      </c>
      <c r="C64" s="329" t="s">
        <v>410</v>
      </c>
      <c r="D64" s="329">
        <v>17030</v>
      </c>
    </row>
    <row r="65" spans="1:4" ht="24.9" customHeight="1" x14ac:dyDescent="0.3">
      <c r="A65" s="30" t="s">
        <v>582</v>
      </c>
      <c r="B65" s="31" t="s">
        <v>583</v>
      </c>
      <c r="C65" s="329" t="s">
        <v>410</v>
      </c>
      <c r="D65" s="329">
        <v>17030</v>
      </c>
    </row>
    <row r="66" spans="1:4" ht="24.9" customHeight="1" x14ac:dyDescent="0.3">
      <c r="A66" s="30" t="s">
        <v>388</v>
      </c>
      <c r="B66" s="31" t="s">
        <v>545</v>
      </c>
      <c r="C66" s="329" t="s">
        <v>353</v>
      </c>
      <c r="D66" s="329">
        <v>17026</v>
      </c>
    </row>
    <row r="67" spans="1:4" ht="24.9" customHeight="1" x14ac:dyDescent="0.3">
      <c r="A67" s="329" t="s">
        <v>292</v>
      </c>
      <c r="B67" s="31" t="s">
        <v>834</v>
      </c>
      <c r="C67" s="329" t="s">
        <v>411</v>
      </c>
      <c r="D67" s="329">
        <v>17041</v>
      </c>
    </row>
    <row r="68" spans="1:4" ht="24.9" customHeight="1" x14ac:dyDescent="0.3">
      <c r="A68" s="30" t="s">
        <v>358</v>
      </c>
      <c r="B68" s="31" t="s">
        <v>655</v>
      </c>
      <c r="C68" s="329" t="s">
        <v>409</v>
      </c>
      <c r="D68" s="329">
        <v>17039</v>
      </c>
    </row>
    <row r="69" spans="1:4" ht="24.9" customHeight="1" x14ac:dyDescent="0.3">
      <c r="A69" s="329" t="s">
        <v>451</v>
      </c>
      <c r="B69" s="31" t="s">
        <v>835</v>
      </c>
      <c r="C69" s="329" t="s">
        <v>411</v>
      </c>
      <c r="D69" s="329">
        <v>17041</v>
      </c>
    </row>
    <row r="70" spans="1:4" ht="24.9" customHeight="1" x14ac:dyDescent="0.3">
      <c r="A70" s="329" t="s">
        <v>452</v>
      </c>
      <c r="B70" s="31" t="s">
        <v>786</v>
      </c>
      <c r="C70" s="329" t="s">
        <v>352</v>
      </c>
      <c r="D70" s="329">
        <v>17036</v>
      </c>
    </row>
    <row r="71" spans="1:4" ht="24.9" customHeight="1" x14ac:dyDescent="0.3">
      <c r="A71" s="329" t="s">
        <v>656</v>
      </c>
      <c r="B71" s="31" t="s">
        <v>657</v>
      </c>
      <c r="C71" s="329" t="s">
        <v>409</v>
      </c>
      <c r="D71" s="329">
        <v>17039</v>
      </c>
    </row>
    <row r="72" spans="1:4" ht="24.9" customHeight="1" x14ac:dyDescent="0.3">
      <c r="A72" s="30" t="s">
        <v>242</v>
      </c>
      <c r="B72" s="31" t="s">
        <v>743</v>
      </c>
      <c r="C72" s="329" t="s">
        <v>513</v>
      </c>
      <c r="D72" s="329">
        <v>17035</v>
      </c>
    </row>
    <row r="73" spans="1:4" ht="24.9" customHeight="1" x14ac:dyDescent="0.3">
      <c r="A73" s="30" t="s">
        <v>787</v>
      </c>
      <c r="B73" s="31" t="s">
        <v>788</v>
      </c>
      <c r="C73" s="329" t="s">
        <v>352</v>
      </c>
      <c r="D73" s="329">
        <v>17036</v>
      </c>
    </row>
    <row r="74" spans="1:4" ht="24.9" customHeight="1" x14ac:dyDescent="0.3">
      <c r="A74" s="30" t="s">
        <v>789</v>
      </c>
      <c r="B74" s="31" t="s">
        <v>790</v>
      </c>
      <c r="C74" s="329" t="s">
        <v>352</v>
      </c>
      <c r="D74" s="329">
        <v>17036</v>
      </c>
    </row>
    <row r="75" spans="1:4" ht="24.9" customHeight="1" x14ac:dyDescent="0.3">
      <c r="A75" s="30" t="s">
        <v>389</v>
      </c>
      <c r="B75" s="31" t="s">
        <v>822</v>
      </c>
      <c r="C75" s="329" t="s">
        <v>415</v>
      </c>
      <c r="D75" s="329">
        <v>17037</v>
      </c>
    </row>
    <row r="76" spans="1:4" ht="24.9" customHeight="1" x14ac:dyDescent="0.3">
      <c r="A76" s="329" t="s">
        <v>390</v>
      </c>
      <c r="B76" s="31" t="s">
        <v>690</v>
      </c>
      <c r="C76" s="329" t="s">
        <v>413</v>
      </c>
      <c r="D76" s="329">
        <v>17045</v>
      </c>
    </row>
    <row r="77" spans="1:4" ht="24.9" customHeight="1" x14ac:dyDescent="0.3">
      <c r="A77" s="329" t="s">
        <v>366</v>
      </c>
      <c r="B77" s="31" t="s">
        <v>633</v>
      </c>
      <c r="C77" s="329" t="s">
        <v>412</v>
      </c>
      <c r="D77" s="329">
        <v>17040</v>
      </c>
    </row>
    <row r="78" spans="1:4" ht="24.9" customHeight="1" x14ac:dyDescent="0.3">
      <c r="A78" s="30" t="s">
        <v>325</v>
      </c>
      <c r="B78" s="31" t="s">
        <v>634</v>
      </c>
      <c r="C78" s="329" t="s">
        <v>412</v>
      </c>
      <c r="D78" s="329">
        <v>17040</v>
      </c>
    </row>
    <row r="79" spans="1:4" ht="24.9" customHeight="1" x14ac:dyDescent="0.3">
      <c r="A79" s="329" t="s">
        <v>691</v>
      </c>
      <c r="B79" s="31" t="s">
        <v>692</v>
      </c>
      <c r="C79" s="329" t="s">
        <v>413</v>
      </c>
      <c r="D79" s="329">
        <v>17045</v>
      </c>
    </row>
    <row r="80" spans="1:4" ht="24.9" customHeight="1" x14ac:dyDescent="0.3">
      <c r="A80" s="30" t="s">
        <v>266</v>
      </c>
      <c r="B80" s="31" t="s">
        <v>546</v>
      </c>
      <c r="C80" s="329" t="s">
        <v>353</v>
      </c>
      <c r="D80" s="329">
        <v>17026</v>
      </c>
    </row>
    <row r="81" spans="1:4" ht="24.9" customHeight="1" x14ac:dyDescent="0.3">
      <c r="A81" s="329" t="s">
        <v>584</v>
      </c>
      <c r="B81" s="31" t="s">
        <v>585</v>
      </c>
      <c r="C81" s="329" t="s">
        <v>410</v>
      </c>
      <c r="D81" s="329">
        <v>17030</v>
      </c>
    </row>
    <row r="82" spans="1:4" ht="24.9" customHeight="1" x14ac:dyDescent="0.3">
      <c r="A82" s="30" t="s">
        <v>487</v>
      </c>
      <c r="B82" s="31" t="s">
        <v>547</v>
      </c>
      <c r="C82" s="329" t="s">
        <v>353</v>
      </c>
      <c r="D82" s="329">
        <v>17026</v>
      </c>
    </row>
    <row r="83" spans="1:4" ht="24.9" customHeight="1" x14ac:dyDescent="0.3">
      <c r="A83" s="30" t="s">
        <v>474</v>
      </c>
      <c r="B83" s="31" t="s">
        <v>548</v>
      </c>
      <c r="C83" s="329" t="s">
        <v>353</v>
      </c>
      <c r="D83" s="329">
        <v>17026</v>
      </c>
    </row>
    <row r="84" spans="1:4" ht="24.9" customHeight="1" x14ac:dyDescent="0.3">
      <c r="A84" s="30" t="s">
        <v>265</v>
      </c>
      <c r="B84" s="31" t="s">
        <v>658</v>
      </c>
      <c r="C84" s="329" t="s">
        <v>409</v>
      </c>
      <c r="D84" s="329">
        <v>17039</v>
      </c>
    </row>
    <row r="85" spans="1:4" ht="24.9" customHeight="1" x14ac:dyDescent="0.3">
      <c r="A85" s="30" t="s">
        <v>977</v>
      </c>
      <c r="B85" s="31" t="s">
        <v>978</v>
      </c>
      <c r="C85" s="329" t="s">
        <v>410</v>
      </c>
      <c r="D85" s="329">
        <v>17030</v>
      </c>
    </row>
    <row r="86" spans="1:4" ht="24.9" customHeight="1" x14ac:dyDescent="0.3">
      <c r="A86" s="30" t="s">
        <v>586</v>
      </c>
      <c r="B86" s="31" t="s">
        <v>587</v>
      </c>
      <c r="C86" s="329" t="s">
        <v>410</v>
      </c>
      <c r="D86" s="329">
        <v>17030</v>
      </c>
    </row>
    <row r="87" spans="1:4" ht="24.9" customHeight="1" x14ac:dyDescent="0.3">
      <c r="A87" s="329" t="s">
        <v>267</v>
      </c>
      <c r="B87" s="31" t="s">
        <v>720</v>
      </c>
      <c r="C87" s="329" t="s">
        <v>414</v>
      </c>
      <c r="D87" s="329">
        <v>17031</v>
      </c>
    </row>
    <row r="88" spans="1:4" ht="24.9" customHeight="1" x14ac:dyDescent="0.3">
      <c r="A88" s="329" t="s">
        <v>588</v>
      </c>
      <c r="B88" s="31" t="s">
        <v>589</v>
      </c>
      <c r="C88" s="329" t="s">
        <v>410</v>
      </c>
      <c r="D88" s="329">
        <v>17030</v>
      </c>
    </row>
    <row r="89" spans="1:4" ht="24.9" customHeight="1" x14ac:dyDescent="0.3">
      <c r="A89" s="329" t="s">
        <v>291</v>
      </c>
      <c r="B89" s="31" t="s">
        <v>659</v>
      </c>
      <c r="C89" s="329" t="s">
        <v>409</v>
      </c>
      <c r="D89" s="329">
        <v>17039</v>
      </c>
    </row>
    <row r="90" spans="1:4" ht="24.9" customHeight="1" x14ac:dyDescent="0.3">
      <c r="A90" s="329" t="s">
        <v>519</v>
      </c>
      <c r="B90" s="31" t="s">
        <v>791</v>
      </c>
      <c r="C90" s="329" t="s">
        <v>352</v>
      </c>
      <c r="D90" s="329">
        <v>17036</v>
      </c>
    </row>
    <row r="91" spans="1:4" ht="24.9" customHeight="1" x14ac:dyDescent="0.3">
      <c r="A91" s="30" t="s">
        <v>525</v>
      </c>
      <c r="B91" s="31" t="s">
        <v>836</v>
      </c>
      <c r="C91" s="329" t="s">
        <v>411</v>
      </c>
      <c r="D91" s="329">
        <v>17041</v>
      </c>
    </row>
    <row r="92" spans="1:4" ht="24.9" customHeight="1" x14ac:dyDescent="0.3">
      <c r="A92" s="30" t="s">
        <v>391</v>
      </c>
      <c r="B92" s="31" t="s">
        <v>837</v>
      </c>
      <c r="C92" s="329" t="s">
        <v>411</v>
      </c>
      <c r="D92" s="329">
        <v>17041</v>
      </c>
    </row>
    <row r="93" spans="1:4" ht="24.9" customHeight="1" x14ac:dyDescent="0.3">
      <c r="A93" s="329" t="s">
        <v>693</v>
      </c>
      <c r="B93" s="31" t="s">
        <v>694</v>
      </c>
      <c r="C93" s="329" t="s">
        <v>413</v>
      </c>
      <c r="D93" s="329">
        <v>17045</v>
      </c>
    </row>
    <row r="94" spans="1:4" ht="24.9" customHeight="1" x14ac:dyDescent="0.3">
      <c r="A94" s="30" t="s">
        <v>324</v>
      </c>
      <c r="B94" s="31" t="s">
        <v>744</v>
      </c>
      <c r="C94" s="329" t="s">
        <v>513</v>
      </c>
      <c r="D94" s="329">
        <v>17035</v>
      </c>
    </row>
    <row r="95" spans="1:4" ht="24.9" customHeight="1" x14ac:dyDescent="0.3">
      <c r="A95" s="30" t="s">
        <v>392</v>
      </c>
      <c r="B95" s="31" t="s">
        <v>660</v>
      </c>
      <c r="C95" s="329" t="s">
        <v>409</v>
      </c>
      <c r="D95" s="329">
        <v>17039</v>
      </c>
    </row>
    <row r="96" spans="1:4" ht="24.9" customHeight="1" x14ac:dyDescent="0.3">
      <c r="A96" s="329" t="s">
        <v>661</v>
      </c>
      <c r="B96" s="31" t="s">
        <v>662</v>
      </c>
      <c r="C96" s="329" t="s">
        <v>409</v>
      </c>
      <c r="D96" s="329">
        <v>17039</v>
      </c>
    </row>
    <row r="97" spans="1:4" ht="24.9" customHeight="1" x14ac:dyDescent="0.3">
      <c r="A97" s="30" t="s">
        <v>319</v>
      </c>
      <c r="B97" s="31" t="s">
        <v>635</v>
      </c>
      <c r="C97" s="329" t="s">
        <v>412</v>
      </c>
      <c r="D97" s="329">
        <v>17040</v>
      </c>
    </row>
    <row r="98" spans="1:4" ht="24.9" customHeight="1" x14ac:dyDescent="0.3">
      <c r="A98" s="30" t="s">
        <v>284</v>
      </c>
      <c r="B98" s="31" t="s">
        <v>792</v>
      </c>
      <c r="C98" s="329" t="s">
        <v>352</v>
      </c>
      <c r="D98" s="329">
        <v>17036</v>
      </c>
    </row>
    <row r="99" spans="1:4" ht="24.9" customHeight="1" x14ac:dyDescent="0.3">
      <c r="A99" s="30" t="s">
        <v>316</v>
      </c>
      <c r="B99" s="31" t="s">
        <v>549</v>
      </c>
      <c r="C99" s="329" t="s">
        <v>353</v>
      </c>
      <c r="D99" s="329">
        <v>17026</v>
      </c>
    </row>
    <row r="100" spans="1:4" ht="24.9" customHeight="1" x14ac:dyDescent="0.3">
      <c r="A100" s="30" t="s">
        <v>286</v>
      </c>
      <c r="B100" s="31" t="s">
        <v>793</v>
      </c>
      <c r="C100" s="329" t="s">
        <v>352</v>
      </c>
      <c r="D100" s="329">
        <v>17036</v>
      </c>
    </row>
    <row r="101" spans="1:4" ht="24.9" customHeight="1" x14ac:dyDescent="0.3">
      <c r="A101" s="30" t="s">
        <v>526</v>
      </c>
      <c r="B101" s="31" t="s">
        <v>838</v>
      </c>
      <c r="C101" s="329" t="s">
        <v>411</v>
      </c>
      <c r="D101" s="329">
        <v>17041</v>
      </c>
    </row>
    <row r="102" spans="1:4" ht="24.9" customHeight="1" x14ac:dyDescent="0.3">
      <c r="A102" s="30" t="s">
        <v>794</v>
      </c>
      <c r="B102" s="31" t="s">
        <v>795</v>
      </c>
      <c r="C102" s="329" t="s">
        <v>352</v>
      </c>
      <c r="D102" s="329">
        <v>17036</v>
      </c>
    </row>
    <row r="103" spans="1:4" ht="24.9" customHeight="1" x14ac:dyDescent="0.3">
      <c r="A103" s="30" t="s">
        <v>301</v>
      </c>
      <c r="B103" s="31" t="s">
        <v>898</v>
      </c>
      <c r="C103" s="329" t="s">
        <v>409</v>
      </c>
      <c r="D103" s="329">
        <v>17039</v>
      </c>
    </row>
    <row r="104" spans="1:4" ht="24.9" customHeight="1" x14ac:dyDescent="0.3">
      <c r="A104" s="329" t="s">
        <v>839</v>
      </c>
      <c r="B104" s="31" t="s">
        <v>840</v>
      </c>
      <c r="C104" s="329" t="s">
        <v>411</v>
      </c>
      <c r="D104" s="329">
        <v>17041</v>
      </c>
    </row>
    <row r="105" spans="1:4" ht="24.9" customHeight="1" x14ac:dyDescent="0.3">
      <c r="A105" s="329" t="s">
        <v>371</v>
      </c>
      <c r="B105" s="31" t="s">
        <v>796</v>
      </c>
      <c r="C105" s="329" t="s">
        <v>352</v>
      </c>
      <c r="D105" s="329">
        <v>17036</v>
      </c>
    </row>
    <row r="106" spans="1:4" ht="24.9" customHeight="1" x14ac:dyDescent="0.3">
      <c r="A106" s="30" t="s">
        <v>309</v>
      </c>
      <c r="B106" s="31" t="s">
        <v>550</v>
      </c>
      <c r="C106" s="329" t="s">
        <v>353</v>
      </c>
      <c r="D106" s="329">
        <v>17026</v>
      </c>
    </row>
    <row r="107" spans="1:4" ht="24.9" customHeight="1" x14ac:dyDescent="0.3">
      <c r="A107" s="30" t="s">
        <v>323</v>
      </c>
      <c r="B107" s="164" t="s">
        <v>823</v>
      </c>
      <c r="C107" s="329" t="s">
        <v>415</v>
      </c>
      <c r="D107" s="329">
        <v>17037</v>
      </c>
    </row>
    <row r="108" spans="1:4" ht="24.9" customHeight="1" x14ac:dyDescent="0.3">
      <c r="A108" s="329" t="s">
        <v>369</v>
      </c>
      <c r="B108" s="31" t="s">
        <v>663</v>
      </c>
      <c r="C108" s="329" t="s">
        <v>409</v>
      </c>
      <c r="D108" s="329">
        <v>17039</v>
      </c>
    </row>
    <row r="109" spans="1:4" ht="24.9" customHeight="1" x14ac:dyDescent="0.3">
      <c r="A109" s="30" t="s">
        <v>253</v>
      </c>
      <c r="B109" s="31" t="s">
        <v>841</v>
      </c>
      <c r="C109" s="329" t="s">
        <v>411</v>
      </c>
      <c r="D109" s="329">
        <v>17041</v>
      </c>
    </row>
    <row r="110" spans="1:4" ht="24.9" customHeight="1" x14ac:dyDescent="0.3">
      <c r="A110" s="30" t="s">
        <v>278</v>
      </c>
      <c r="B110" s="31" t="s">
        <v>721</v>
      </c>
      <c r="C110" s="329" t="s">
        <v>414</v>
      </c>
      <c r="D110" s="329">
        <v>17031</v>
      </c>
    </row>
    <row r="111" spans="1:4" ht="24.9" customHeight="1" x14ac:dyDescent="0.3">
      <c r="A111" s="30" t="s">
        <v>290</v>
      </c>
      <c r="B111" s="31" t="s">
        <v>636</v>
      </c>
      <c r="C111" s="329" t="s">
        <v>412</v>
      </c>
      <c r="D111" s="329">
        <v>17040</v>
      </c>
    </row>
    <row r="112" spans="1:4" ht="24.9" customHeight="1" x14ac:dyDescent="0.3">
      <c r="A112" s="329" t="s">
        <v>370</v>
      </c>
      <c r="B112" s="31" t="s">
        <v>824</v>
      </c>
      <c r="C112" s="329" t="s">
        <v>415</v>
      </c>
      <c r="D112" s="329">
        <v>17037</v>
      </c>
    </row>
    <row r="113" spans="1:4" ht="24.9" customHeight="1" x14ac:dyDescent="0.3">
      <c r="A113" s="30" t="s">
        <v>275</v>
      </c>
      <c r="B113" s="31" t="s">
        <v>722</v>
      </c>
      <c r="C113" s="329" t="s">
        <v>414</v>
      </c>
      <c r="D113" s="329">
        <v>17031</v>
      </c>
    </row>
    <row r="114" spans="1:4" ht="24.9" customHeight="1" x14ac:dyDescent="0.3">
      <c r="A114" s="329" t="s">
        <v>880</v>
      </c>
      <c r="B114" s="31" t="s">
        <v>881</v>
      </c>
      <c r="C114" s="329" t="s">
        <v>513</v>
      </c>
      <c r="D114" s="329">
        <v>17035</v>
      </c>
    </row>
    <row r="115" spans="1:4" ht="24.9" customHeight="1" x14ac:dyDescent="0.3">
      <c r="A115" s="329" t="s">
        <v>502</v>
      </c>
      <c r="B115" s="31" t="s">
        <v>637</v>
      </c>
      <c r="C115" s="329" t="s">
        <v>513</v>
      </c>
      <c r="D115" s="329">
        <v>17025</v>
      </c>
    </row>
    <row r="116" spans="1:4" ht="24.9" customHeight="1" x14ac:dyDescent="0.3">
      <c r="A116" s="30" t="s">
        <v>797</v>
      </c>
      <c r="B116" s="31" t="s">
        <v>798</v>
      </c>
      <c r="C116" s="329" t="s">
        <v>352</v>
      </c>
      <c r="D116" s="329">
        <v>17036</v>
      </c>
    </row>
    <row r="117" spans="1:4" ht="24.9" customHeight="1" x14ac:dyDescent="0.3">
      <c r="A117" s="30" t="s">
        <v>357</v>
      </c>
      <c r="B117" s="31" t="s">
        <v>590</v>
      </c>
      <c r="C117" s="329" t="s">
        <v>410</v>
      </c>
      <c r="D117" s="329">
        <v>17030</v>
      </c>
    </row>
    <row r="118" spans="1:4" ht="24.9" customHeight="1" x14ac:dyDescent="0.3">
      <c r="A118" s="30" t="s">
        <v>318</v>
      </c>
      <c r="B118" s="31" t="s">
        <v>745</v>
      </c>
      <c r="C118" s="329" t="s">
        <v>513</v>
      </c>
      <c r="D118" s="329">
        <v>17035</v>
      </c>
    </row>
    <row r="119" spans="1:4" ht="24.9" customHeight="1" x14ac:dyDescent="0.3">
      <c r="A119" s="30" t="s">
        <v>393</v>
      </c>
      <c r="B119" s="31" t="s">
        <v>551</v>
      </c>
      <c r="C119" s="329" t="s">
        <v>353</v>
      </c>
      <c r="D119" s="329">
        <v>17026</v>
      </c>
    </row>
    <row r="120" spans="1:4" ht="24.9" customHeight="1" x14ac:dyDescent="0.3">
      <c r="A120" s="329" t="s">
        <v>362</v>
      </c>
      <c r="B120" s="31" t="s">
        <v>746</v>
      </c>
      <c r="C120" s="329" t="s">
        <v>513</v>
      </c>
      <c r="D120" s="329">
        <v>17035</v>
      </c>
    </row>
    <row r="121" spans="1:4" ht="24.9" customHeight="1" x14ac:dyDescent="0.3">
      <c r="A121" s="30" t="s">
        <v>288</v>
      </c>
      <c r="B121" s="31" t="s">
        <v>591</v>
      </c>
      <c r="C121" s="329" t="s">
        <v>410</v>
      </c>
      <c r="D121" s="329">
        <v>17030</v>
      </c>
    </row>
    <row r="122" spans="1:4" ht="24.9" customHeight="1" x14ac:dyDescent="0.3">
      <c r="A122" s="30" t="s">
        <v>453</v>
      </c>
      <c r="B122" s="31" t="s">
        <v>592</v>
      </c>
      <c r="C122" s="329" t="s">
        <v>410</v>
      </c>
      <c r="D122" s="329">
        <v>17030</v>
      </c>
    </row>
    <row r="123" spans="1:4" ht="24.9" customHeight="1" x14ac:dyDescent="0.3">
      <c r="A123" s="329" t="s">
        <v>527</v>
      </c>
      <c r="B123" s="31" t="s">
        <v>842</v>
      </c>
      <c r="C123" s="329" t="s">
        <v>411</v>
      </c>
      <c r="D123" s="329">
        <v>17041</v>
      </c>
    </row>
    <row r="124" spans="1:4" ht="24.9" customHeight="1" x14ac:dyDescent="0.3">
      <c r="A124" s="329" t="s">
        <v>454</v>
      </c>
      <c r="B124" s="31" t="s">
        <v>552</v>
      </c>
      <c r="C124" s="329" t="s">
        <v>353</v>
      </c>
      <c r="D124" s="329">
        <v>17026</v>
      </c>
    </row>
    <row r="125" spans="1:4" ht="24.9" customHeight="1" x14ac:dyDescent="0.3">
      <c r="A125" s="30" t="s">
        <v>258</v>
      </c>
      <c r="B125" s="31" t="s">
        <v>664</v>
      </c>
      <c r="C125" s="329" t="s">
        <v>409</v>
      </c>
      <c r="D125" s="329">
        <v>17039</v>
      </c>
    </row>
    <row r="126" spans="1:4" ht="24.9" customHeight="1" x14ac:dyDescent="0.3">
      <c r="A126" s="329" t="s">
        <v>455</v>
      </c>
      <c r="B126" s="31" t="s">
        <v>638</v>
      </c>
      <c r="C126" s="329" t="s">
        <v>412</v>
      </c>
      <c r="D126" s="329">
        <v>17040</v>
      </c>
    </row>
    <row r="127" spans="1:4" ht="24.9" customHeight="1" x14ac:dyDescent="0.3">
      <c r="A127" s="30" t="s">
        <v>528</v>
      </c>
      <c r="B127" s="31" t="s">
        <v>843</v>
      </c>
      <c r="C127" s="329" t="s">
        <v>411</v>
      </c>
      <c r="D127" s="329">
        <v>17041</v>
      </c>
    </row>
    <row r="128" spans="1:4" ht="24.9" customHeight="1" x14ac:dyDescent="0.3">
      <c r="A128" s="30" t="s">
        <v>260</v>
      </c>
      <c r="B128" s="31" t="s">
        <v>825</v>
      </c>
      <c r="C128" s="329" t="s">
        <v>415</v>
      </c>
      <c r="D128" s="329">
        <v>17037</v>
      </c>
    </row>
    <row r="129" spans="1:4" ht="24.9" customHeight="1" x14ac:dyDescent="0.3">
      <c r="A129" s="30" t="s">
        <v>695</v>
      </c>
      <c r="B129" s="31" t="s">
        <v>696</v>
      </c>
      <c r="C129" s="329" t="s">
        <v>413</v>
      </c>
      <c r="D129" s="329">
        <v>17045</v>
      </c>
    </row>
    <row r="130" spans="1:4" ht="24.9" customHeight="1" x14ac:dyDescent="0.3">
      <c r="A130" s="30" t="s">
        <v>262</v>
      </c>
      <c r="B130" s="31" t="s">
        <v>665</v>
      </c>
      <c r="C130" s="329" t="s">
        <v>409</v>
      </c>
      <c r="D130" s="329">
        <v>17039</v>
      </c>
    </row>
    <row r="131" spans="1:4" ht="24.9" customHeight="1" x14ac:dyDescent="0.3">
      <c r="A131" s="30" t="s">
        <v>355</v>
      </c>
      <c r="B131" s="31" t="s">
        <v>553</v>
      </c>
      <c r="C131" s="329" t="s">
        <v>513</v>
      </c>
      <c r="D131" s="329">
        <v>17035</v>
      </c>
    </row>
    <row r="132" spans="1:4" ht="24.9" customHeight="1" x14ac:dyDescent="0.3">
      <c r="A132" s="30" t="s">
        <v>431</v>
      </c>
      <c r="B132" s="31" t="s">
        <v>697</v>
      </c>
      <c r="C132" s="329" t="s">
        <v>413</v>
      </c>
      <c r="D132" s="329">
        <v>17045</v>
      </c>
    </row>
    <row r="133" spans="1:4" ht="24.9" customHeight="1" x14ac:dyDescent="0.3">
      <c r="A133" s="30" t="s">
        <v>891</v>
      </c>
      <c r="B133" s="31" t="s">
        <v>892</v>
      </c>
      <c r="C133" s="329" t="s">
        <v>352</v>
      </c>
      <c r="D133" s="329">
        <v>17036</v>
      </c>
    </row>
    <row r="134" spans="1:4" ht="24.9" customHeight="1" x14ac:dyDescent="0.3">
      <c r="A134" s="30" t="s">
        <v>272</v>
      </c>
      <c r="B134" s="31" t="s">
        <v>639</v>
      </c>
      <c r="C134" s="329" t="s">
        <v>412</v>
      </c>
      <c r="D134" s="329">
        <v>17040</v>
      </c>
    </row>
    <row r="135" spans="1:4" ht="24.9" customHeight="1" x14ac:dyDescent="0.3">
      <c r="A135" s="30" t="s">
        <v>554</v>
      </c>
      <c r="B135" s="31" t="s">
        <v>555</v>
      </c>
      <c r="C135" s="329" t="s">
        <v>353</v>
      </c>
      <c r="D135" s="329">
        <v>17026</v>
      </c>
    </row>
    <row r="136" spans="1:4" ht="24.9" customHeight="1" x14ac:dyDescent="0.3">
      <c r="A136" s="30" t="s">
        <v>456</v>
      </c>
      <c r="B136" s="31" t="s">
        <v>556</v>
      </c>
      <c r="C136" s="329" t="s">
        <v>353</v>
      </c>
      <c r="D136" s="329">
        <v>17026</v>
      </c>
    </row>
    <row r="137" spans="1:4" ht="24.9" customHeight="1" x14ac:dyDescent="0.3">
      <c r="A137" s="30" t="s">
        <v>478</v>
      </c>
      <c r="B137" s="31" t="s">
        <v>844</v>
      </c>
      <c r="C137" s="329" t="s">
        <v>411</v>
      </c>
      <c r="D137" s="329">
        <v>17041</v>
      </c>
    </row>
    <row r="138" spans="1:4" ht="24.9" customHeight="1" x14ac:dyDescent="0.3">
      <c r="A138" s="30" t="s">
        <v>893</v>
      </c>
      <c r="B138" s="31" t="s">
        <v>894</v>
      </c>
      <c r="C138" s="329" t="s">
        <v>513</v>
      </c>
      <c r="D138" s="329">
        <v>17035</v>
      </c>
    </row>
    <row r="139" spans="1:4" ht="24.9" customHeight="1" x14ac:dyDescent="0.3">
      <c r="A139" s="30" t="s">
        <v>492</v>
      </c>
      <c r="B139" s="31" t="s">
        <v>593</v>
      </c>
      <c r="C139" s="329" t="s">
        <v>410</v>
      </c>
      <c r="D139" s="329">
        <v>17030</v>
      </c>
    </row>
    <row r="140" spans="1:4" ht="24.9" customHeight="1" x14ac:dyDescent="0.3">
      <c r="A140" s="30" t="s">
        <v>594</v>
      </c>
      <c r="B140" s="31" t="s">
        <v>595</v>
      </c>
      <c r="C140" s="329" t="s">
        <v>410</v>
      </c>
      <c r="D140" s="329">
        <v>17030</v>
      </c>
    </row>
    <row r="141" spans="1:4" ht="24.9" customHeight="1" x14ac:dyDescent="0.3">
      <c r="A141" s="30" t="s">
        <v>529</v>
      </c>
      <c r="B141" s="31" t="s">
        <v>845</v>
      </c>
      <c r="C141" s="329" t="s">
        <v>411</v>
      </c>
      <c r="D141" s="329">
        <v>17041</v>
      </c>
    </row>
    <row r="142" spans="1:4" ht="24.9" customHeight="1" x14ac:dyDescent="0.3">
      <c r="A142" s="30" t="s">
        <v>514</v>
      </c>
      <c r="B142" s="31" t="s">
        <v>747</v>
      </c>
      <c r="C142" s="329" t="s">
        <v>513</v>
      </c>
      <c r="D142" s="329">
        <v>17035</v>
      </c>
    </row>
    <row r="143" spans="1:4" ht="24.9" customHeight="1" x14ac:dyDescent="0.3">
      <c r="A143" s="30" t="s">
        <v>530</v>
      </c>
      <c r="B143" s="31" t="s">
        <v>846</v>
      </c>
      <c r="C143" s="329" t="s">
        <v>411</v>
      </c>
      <c r="D143" s="329">
        <v>17041</v>
      </c>
    </row>
    <row r="144" spans="1:4" ht="24.9" customHeight="1" x14ac:dyDescent="0.3">
      <c r="A144" s="30" t="s">
        <v>882</v>
      </c>
      <c r="B144" s="31" t="s">
        <v>896</v>
      </c>
      <c r="C144" s="329" t="s">
        <v>513</v>
      </c>
      <c r="D144" s="329">
        <v>17035</v>
      </c>
    </row>
    <row r="145" spans="1:4" ht="24.9" customHeight="1" x14ac:dyDescent="0.3">
      <c r="A145" s="30" t="s">
        <v>723</v>
      </c>
      <c r="B145" s="31" t="s">
        <v>724</v>
      </c>
      <c r="C145" s="329" t="s">
        <v>414</v>
      </c>
      <c r="D145" s="329">
        <v>17031</v>
      </c>
    </row>
    <row r="146" spans="1:4" ht="24.9" customHeight="1" x14ac:dyDescent="0.3">
      <c r="A146" s="329" t="s">
        <v>531</v>
      </c>
      <c r="B146" s="31" t="s">
        <v>847</v>
      </c>
      <c r="C146" s="329" t="s">
        <v>411</v>
      </c>
      <c r="D146" s="329">
        <v>17041</v>
      </c>
    </row>
    <row r="147" spans="1:4" ht="24.9" customHeight="1" x14ac:dyDescent="0.3">
      <c r="A147" s="329" t="s">
        <v>457</v>
      </c>
      <c r="B147" s="31" t="s">
        <v>799</v>
      </c>
      <c r="C147" s="329" t="s">
        <v>352</v>
      </c>
      <c r="D147" s="329">
        <v>17036</v>
      </c>
    </row>
    <row r="148" spans="1:4" ht="24.9" customHeight="1" x14ac:dyDescent="0.3">
      <c r="A148" s="329" t="s">
        <v>256</v>
      </c>
      <c r="B148" s="31" t="s">
        <v>848</v>
      </c>
      <c r="C148" s="329" t="s">
        <v>411</v>
      </c>
      <c r="D148" s="329">
        <v>17041</v>
      </c>
    </row>
    <row r="149" spans="1:4" ht="24.9" customHeight="1" x14ac:dyDescent="0.3">
      <c r="A149" s="30" t="s">
        <v>666</v>
      </c>
      <c r="B149" s="31" t="s">
        <v>667</v>
      </c>
      <c r="C149" s="329" t="s">
        <v>409</v>
      </c>
      <c r="D149" s="329">
        <v>17039</v>
      </c>
    </row>
    <row r="150" spans="1:4" ht="24.9" customHeight="1" x14ac:dyDescent="0.3">
      <c r="A150" s="329" t="s">
        <v>322</v>
      </c>
      <c r="B150" s="31" t="s">
        <v>826</v>
      </c>
      <c r="C150" s="329" t="s">
        <v>415</v>
      </c>
      <c r="D150" s="329">
        <v>17037</v>
      </c>
    </row>
    <row r="151" spans="1:4" ht="24.9" customHeight="1" x14ac:dyDescent="0.3">
      <c r="A151" s="30" t="s">
        <v>377</v>
      </c>
      <c r="B151" s="31" t="s">
        <v>698</v>
      </c>
      <c r="C151" s="329" t="s">
        <v>413</v>
      </c>
      <c r="D151" s="329">
        <v>17045</v>
      </c>
    </row>
    <row r="152" spans="1:4" ht="24.9" customHeight="1" x14ac:dyDescent="0.3">
      <c r="A152" s="329" t="s">
        <v>458</v>
      </c>
      <c r="B152" s="31" t="s">
        <v>596</v>
      </c>
      <c r="C152" s="329" t="s">
        <v>410</v>
      </c>
      <c r="D152" s="329">
        <v>17030</v>
      </c>
    </row>
    <row r="153" spans="1:4" ht="24.9" customHeight="1" x14ac:dyDescent="0.3">
      <c r="A153" s="329" t="s">
        <v>241</v>
      </c>
      <c r="B153" s="31" t="s">
        <v>827</v>
      </c>
      <c r="C153" s="329" t="s">
        <v>415</v>
      </c>
      <c r="D153" s="329">
        <v>17037</v>
      </c>
    </row>
    <row r="154" spans="1:4" ht="24.9" customHeight="1" x14ac:dyDescent="0.3">
      <c r="A154" s="329" t="s">
        <v>283</v>
      </c>
      <c r="B154" s="31" t="s">
        <v>981</v>
      </c>
      <c r="C154" s="329" t="s">
        <v>414</v>
      </c>
      <c r="D154" s="329">
        <v>17031</v>
      </c>
    </row>
    <row r="155" spans="1:4" ht="24.9" customHeight="1" x14ac:dyDescent="0.3">
      <c r="A155" s="30" t="s">
        <v>432</v>
      </c>
      <c r="B155" s="31" t="s">
        <v>668</v>
      </c>
      <c r="C155" s="329" t="s">
        <v>409</v>
      </c>
      <c r="D155" s="329">
        <v>17039</v>
      </c>
    </row>
    <row r="156" spans="1:4" ht="24.9" customHeight="1" x14ac:dyDescent="0.3">
      <c r="A156" s="329" t="s">
        <v>248</v>
      </c>
      <c r="B156" s="31" t="s">
        <v>748</v>
      </c>
      <c r="C156" s="329" t="s">
        <v>513</v>
      </c>
      <c r="D156" s="329">
        <v>17035</v>
      </c>
    </row>
    <row r="157" spans="1:4" ht="24.9" customHeight="1" x14ac:dyDescent="0.3">
      <c r="A157" s="30" t="s">
        <v>669</v>
      </c>
      <c r="B157" s="31" t="s">
        <v>670</v>
      </c>
      <c r="C157" s="329" t="s">
        <v>409</v>
      </c>
      <c r="D157" s="329">
        <v>17039</v>
      </c>
    </row>
    <row r="158" spans="1:4" ht="24.9" customHeight="1" x14ac:dyDescent="0.3">
      <c r="A158" s="30" t="s">
        <v>238</v>
      </c>
      <c r="B158" s="31" t="s">
        <v>557</v>
      </c>
      <c r="C158" s="329" t="s">
        <v>353</v>
      </c>
      <c r="D158" s="329">
        <v>17026</v>
      </c>
    </row>
    <row r="159" spans="1:4" ht="24.9" customHeight="1" x14ac:dyDescent="0.3">
      <c r="A159" s="329" t="s">
        <v>459</v>
      </c>
      <c r="B159" s="31" t="s">
        <v>849</v>
      </c>
      <c r="C159" s="329" t="s">
        <v>411</v>
      </c>
      <c r="D159" s="329">
        <v>17041</v>
      </c>
    </row>
    <row r="160" spans="1:4" ht="24.9" customHeight="1" x14ac:dyDescent="0.3">
      <c r="A160" s="329" t="s">
        <v>394</v>
      </c>
      <c r="B160" s="31" t="s">
        <v>725</v>
      </c>
      <c r="C160" s="329" t="s">
        <v>414</v>
      </c>
      <c r="D160" s="329">
        <v>17031</v>
      </c>
    </row>
    <row r="161" spans="1:4" ht="24.9" customHeight="1" x14ac:dyDescent="0.3">
      <c r="A161" s="329" t="s">
        <v>532</v>
      </c>
      <c r="B161" s="31" t="s">
        <v>850</v>
      </c>
      <c r="C161" s="329" t="s">
        <v>411</v>
      </c>
      <c r="D161" s="329">
        <v>17041</v>
      </c>
    </row>
    <row r="162" spans="1:4" ht="24.9" customHeight="1" x14ac:dyDescent="0.3">
      <c r="A162" s="30" t="s">
        <v>800</v>
      </c>
      <c r="B162" s="31" t="s">
        <v>801</v>
      </c>
      <c r="C162" s="329" t="s">
        <v>352</v>
      </c>
      <c r="D162" s="329">
        <v>17036</v>
      </c>
    </row>
    <row r="163" spans="1:4" ht="24.9" customHeight="1" x14ac:dyDescent="0.3">
      <c r="A163" s="30" t="s">
        <v>597</v>
      </c>
      <c r="B163" s="31" t="s">
        <v>598</v>
      </c>
      <c r="C163" s="329" t="s">
        <v>410</v>
      </c>
      <c r="D163" s="329">
        <v>17030</v>
      </c>
    </row>
    <row r="164" spans="1:4" ht="24.9" customHeight="1" x14ac:dyDescent="0.3">
      <c r="A164" s="30" t="s">
        <v>599</v>
      </c>
      <c r="B164" s="31" t="s">
        <v>600</v>
      </c>
      <c r="C164" s="329" t="s">
        <v>410</v>
      </c>
      <c r="D164" s="329">
        <v>17030</v>
      </c>
    </row>
    <row r="165" spans="1:4" ht="24.9" customHeight="1" x14ac:dyDescent="0.3">
      <c r="A165" s="329" t="s">
        <v>488</v>
      </c>
      <c r="B165" s="31" t="s">
        <v>558</v>
      </c>
      <c r="C165" s="329" t="s">
        <v>353</v>
      </c>
      <c r="D165" s="329">
        <v>17026</v>
      </c>
    </row>
    <row r="166" spans="1:4" ht="24.9" customHeight="1" x14ac:dyDescent="0.3">
      <c r="A166" s="30" t="s">
        <v>273</v>
      </c>
      <c r="B166" s="31" t="s">
        <v>726</v>
      </c>
      <c r="C166" s="329" t="s">
        <v>414</v>
      </c>
      <c r="D166" s="329">
        <v>17031</v>
      </c>
    </row>
    <row r="167" spans="1:4" ht="24.9" customHeight="1" x14ac:dyDescent="0.3">
      <c r="A167" s="30" t="s">
        <v>320</v>
      </c>
      <c r="B167" s="31" t="s">
        <v>699</v>
      </c>
      <c r="C167" s="329" t="s">
        <v>413</v>
      </c>
      <c r="D167" s="329">
        <v>17045</v>
      </c>
    </row>
    <row r="168" spans="1:4" ht="24.9" customHeight="1" x14ac:dyDescent="0.3">
      <c r="A168" s="30" t="s">
        <v>489</v>
      </c>
      <c r="B168" s="31" t="s">
        <v>559</v>
      </c>
      <c r="C168" s="329" t="s">
        <v>353</v>
      </c>
      <c r="D168" s="329">
        <v>17026</v>
      </c>
    </row>
    <row r="169" spans="1:4" ht="24.9" customHeight="1" x14ac:dyDescent="0.3">
      <c r="A169" s="30" t="s">
        <v>257</v>
      </c>
      <c r="B169" s="31" t="s">
        <v>828</v>
      </c>
      <c r="C169" s="329" t="s">
        <v>415</v>
      </c>
      <c r="D169" s="329">
        <v>17037</v>
      </c>
    </row>
    <row r="170" spans="1:4" ht="24.9" customHeight="1" x14ac:dyDescent="0.3">
      <c r="A170" s="329" t="s">
        <v>493</v>
      </c>
      <c r="B170" s="31" t="s">
        <v>601</v>
      </c>
      <c r="C170" s="329" t="s">
        <v>410</v>
      </c>
      <c r="D170" s="329">
        <v>17030</v>
      </c>
    </row>
    <row r="171" spans="1:4" ht="24.9" customHeight="1" x14ac:dyDescent="0.3">
      <c r="A171" s="329" t="s">
        <v>433</v>
      </c>
      <c r="B171" s="31" t="s">
        <v>802</v>
      </c>
      <c r="C171" s="329" t="s">
        <v>352</v>
      </c>
      <c r="D171" s="329">
        <v>17036</v>
      </c>
    </row>
    <row r="172" spans="1:4" ht="24.9" customHeight="1" x14ac:dyDescent="0.3">
      <c r="A172" s="30" t="s">
        <v>602</v>
      </c>
      <c r="B172" s="31" t="s">
        <v>603</v>
      </c>
      <c r="C172" s="329" t="s">
        <v>410</v>
      </c>
      <c r="D172" s="329">
        <v>17030</v>
      </c>
    </row>
    <row r="173" spans="1:4" ht="24.9" customHeight="1" x14ac:dyDescent="0.3">
      <c r="A173" s="30" t="s">
        <v>434</v>
      </c>
      <c r="B173" s="31" t="s">
        <v>727</v>
      </c>
      <c r="C173" s="329" t="s">
        <v>414</v>
      </c>
      <c r="D173" s="329">
        <v>17031</v>
      </c>
    </row>
    <row r="174" spans="1:4" ht="24.9" customHeight="1" x14ac:dyDescent="0.3">
      <c r="A174" s="30" t="s">
        <v>460</v>
      </c>
      <c r="B174" s="31" t="s">
        <v>671</v>
      </c>
      <c r="C174" s="329" t="s">
        <v>409</v>
      </c>
      <c r="D174" s="329">
        <v>17039</v>
      </c>
    </row>
    <row r="175" spans="1:4" ht="24.9" customHeight="1" x14ac:dyDescent="0.3">
      <c r="A175" s="329" t="s">
        <v>244</v>
      </c>
      <c r="B175" s="31" t="s">
        <v>672</v>
      </c>
      <c r="C175" s="329" t="s">
        <v>409</v>
      </c>
      <c r="D175" s="329">
        <v>17039</v>
      </c>
    </row>
    <row r="176" spans="1:4" ht="24.9" customHeight="1" x14ac:dyDescent="0.3">
      <c r="A176" s="30" t="s">
        <v>321</v>
      </c>
      <c r="B176" s="31" t="s">
        <v>673</v>
      </c>
      <c r="C176" s="329" t="s">
        <v>409</v>
      </c>
      <c r="D176" s="329">
        <v>17039</v>
      </c>
    </row>
    <row r="177" spans="1:4" ht="24.9" customHeight="1" x14ac:dyDescent="0.3">
      <c r="A177" s="30" t="s">
        <v>304</v>
      </c>
      <c r="B177" s="31" t="s">
        <v>728</v>
      </c>
      <c r="C177" s="329" t="s">
        <v>414</v>
      </c>
      <c r="D177" s="329">
        <v>17031</v>
      </c>
    </row>
    <row r="178" spans="1:4" ht="24.9" customHeight="1" x14ac:dyDescent="0.3">
      <c r="A178" s="30" t="s">
        <v>515</v>
      </c>
      <c r="B178" s="31" t="s">
        <v>749</v>
      </c>
      <c r="C178" s="329" t="s">
        <v>513</v>
      </c>
      <c r="D178" s="329">
        <v>17035</v>
      </c>
    </row>
    <row r="179" spans="1:4" ht="24.9" customHeight="1" x14ac:dyDescent="0.3">
      <c r="A179" s="329" t="s">
        <v>247</v>
      </c>
      <c r="B179" s="31" t="s">
        <v>560</v>
      </c>
      <c r="C179" s="329" t="s">
        <v>353</v>
      </c>
      <c r="D179" s="329">
        <v>17026</v>
      </c>
    </row>
    <row r="180" spans="1:4" ht="24.9" customHeight="1" x14ac:dyDescent="0.3">
      <c r="A180" s="30" t="s">
        <v>461</v>
      </c>
      <c r="B180" s="31" t="s">
        <v>851</v>
      </c>
      <c r="C180" s="329" t="s">
        <v>411</v>
      </c>
      <c r="D180" s="329">
        <v>17041</v>
      </c>
    </row>
    <row r="181" spans="1:4" ht="24.9" customHeight="1" x14ac:dyDescent="0.3">
      <c r="A181" s="30" t="s">
        <v>516</v>
      </c>
      <c r="B181" s="31" t="s">
        <v>750</v>
      </c>
      <c r="C181" s="329" t="s">
        <v>513</v>
      </c>
      <c r="D181" s="329">
        <v>17035</v>
      </c>
    </row>
    <row r="182" spans="1:4" ht="24.9" customHeight="1" x14ac:dyDescent="0.3">
      <c r="A182" s="329" t="s">
        <v>462</v>
      </c>
      <c r="B182" s="31" t="s">
        <v>674</v>
      </c>
      <c r="C182" s="329" t="s">
        <v>409</v>
      </c>
      <c r="D182" s="329">
        <v>17039</v>
      </c>
    </row>
    <row r="183" spans="1:4" ht="24.9" customHeight="1" x14ac:dyDescent="0.3">
      <c r="A183" s="30" t="s">
        <v>328</v>
      </c>
      <c r="B183" s="31" t="s">
        <v>604</v>
      </c>
      <c r="C183" s="329" t="s">
        <v>410</v>
      </c>
      <c r="D183" s="329">
        <v>17030</v>
      </c>
    </row>
    <row r="184" spans="1:4" ht="24.9" customHeight="1" x14ac:dyDescent="0.3">
      <c r="A184" s="30" t="s">
        <v>463</v>
      </c>
      <c r="B184" s="31" t="s">
        <v>675</v>
      </c>
      <c r="C184" s="329" t="s">
        <v>409</v>
      </c>
      <c r="D184" s="329">
        <v>17039</v>
      </c>
    </row>
    <row r="185" spans="1:4" ht="24.9" customHeight="1" x14ac:dyDescent="0.3">
      <c r="A185" s="30" t="s">
        <v>296</v>
      </c>
      <c r="B185" s="31" t="s">
        <v>561</v>
      </c>
      <c r="C185" s="329" t="s">
        <v>353</v>
      </c>
      <c r="D185" s="329">
        <v>17026</v>
      </c>
    </row>
    <row r="186" spans="1:4" ht="24.9" customHeight="1" x14ac:dyDescent="0.3">
      <c r="A186" s="30" t="s">
        <v>494</v>
      </c>
      <c r="B186" s="31" t="s">
        <v>605</v>
      </c>
      <c r="C186" s="329" t="s">
        <v>410</v>
      </c>
      <c r="D186" s="329">
        <v>17030</v>
      </c>
    </row>
    <row r="187" spans="1:4" ht="24.9" customHeight="1" x14ac:dyDescent="0.3">
      <c r="A187" s="30" t="s">
        <v>395</v>
      </c>
      <c r="B187" s="31" t="s">
        <v>606</v>
      </c>
      <c r="C187" s="329" t="s">
        <v>410</v>
      </c>
      <c r="D187" s="329">
        <v>17030</v>
      </c>
    </row>
    <row r="188" spans="1:4" ht="24.9" customHeight="1" x14ac:dyDescent="0.3">
      <c r="A188" s="30" t="s">
        <v>495</v>
      </c>
      <c r="B188" s="31" t="s">
        <v>607</v>
      </c>
      <c r="C188" s="329" t="s">
        <v>410</v>
      </c>
      <c r="D188" s="329">
        <v>17030</v>
      </c>
    </row>
    <row r="189" spans="1:4" ht="24.9" customHeight="1" x14ac:dyDescent="0.3">
      <c r="A189" s="329" t="s">
        <v>520</v>
      </c>
      <c r="B189" s="31" t="s">
        <v>803</v>
      </c>
      <c r="C189" s="329" t="s">
        <v>352</v>
      </c>
      <c r="D189" s="329">
        <v>17036</v>
      </c>
    </row>
    <row r="190" spans="1:4" ht="24.75" customHeight="1" x14ac:dyDescent="0.3">
      <c r="A190" s="30" t="s">
        <v>464</v>
      </c>
      <c r="B190" s="31" t="s">
        <v>852</v>
      </c>
      <c r="C190" s="329" t="s">
        <v>411</v>
      </c>
      <c r="D190" s="329">
        <v>17041</v>
      </c>
    </row>
    <row r="191" spans="1:4" ht="24.9" customHeight="1" x14ac:dyDescent="0.3">
      <c r="A191" s="30" t="s">
        <v>883</v>
      </c>
      <c r="B191" s="31" t="s">
        <v>884</v>
      </c>
      <c r="C191" s="329" t="s">
        <v>513</v>
      </c>
      <c r="D191" s="329">
        <v>17035</v>
      </c>
    </row>
    <row r="192" spans="1:4" ht="24.9" customHeight="1" x14ac:dyDescent="0.3">
      <c r="A192" s="30" t="s">
        <v>298</v>
      </c>
      <c r="B192" s="31" t="s">
        <v>608</v>
      </c>
      <c r="C192" s="329" t="s">
        <v>410</v>
      </c>
      <c r="D192" s="329">
        <v>17030</v>
      </c>
    </row>
    <row r="193" spans="1:4" ht="24.9" customHeight="1" x14ac:dyDescent="0.3">
      <c r="A193" s="30" t="s">
        <v>239</v>
      </c>
      <c r="B193" s="31" t="s">
        <v>562</v>
      </c>
      <c r="C193" s="329" t="s">
        <v>353</v>
      </c>
      <c r="D193" s="329">
        <v>17026</v>
      </c>
    </row>
    <row r="194" spans="1:4" ht="24.9" customHeight="1" x14ac:dyDescent="0.3">
      <c r="A194" s="30" t="s">
        <v>609</v>
      </c>
      <c r="B194" s="31" t="s">
        <v>610</v>
      </c>
      <c r="C194" s="329" t="s">
        <v>410</v>
      </c>
      <c r="D194" s="329">
        <v>17030</v>
      </c>
    </row>
    <row r="195" spans="1:4" ht="24.9" customHeight="1" x14ac:dyDescent="0.3">
      <c r="A195" s="30" t="s">
        <v>303</v>
      </c>
      <c r="B195" s="31" t="s">
        <v>729</v>
      </c>
      <c r="C195" s="329" t="s">
        <v>414</v>
      </c>
      <c r="D195" s="329">
        <v>17031</v>
      </c>
    </row>
    <row r="196" spans="1:4" ht="24.9" customHeight="1" x14ac:dyDescent="0.3">
      <c r="A196" s="30" t="s">
        <v>374</v>
      </c>
      <c r="B196" s="31" t="s">
        <v>804</v>
      </c>
      <c r="C196" s="329" t="s">
        <v>352</v>
      </c>
      <c r="D196" s="329">
        <v>17036</v>
      </c>
    </row>
    <row r="197" spans="1:4" ht="24.9" customHeight="1" x14ac:dyDescent="0.3">
      <c r="A197" s="30" t="s">
        <v>282</v>
      </c>
      <c r="B197" s="31" t="s">
        <v>730</v>
      </c>
      <c r="C197" s="329" t="s">
        <v>414</v>
      </c>
      <c r="D197" s="329">
        <v>17031</v>
      </c>
    </row>
    <row r="198" spans="1:4" ht="24.9" customHeight="1" x14ac:dyDescent="0.3">
      <c r="A198" s="30" t="s">
        <v>237</v>
      </c>
      <c r="B198" s="31" t="s">
        <v>805</v>
      </c>
      <c r="C198" s="329" t="s">
        <v>352</v>
      </c>
      <c r="D198" s="329">
        <v>17036</v>
      </c>
    </row>
    <row r="199" spans="1:4" ht="24.9" customHeight="1" x14ac:dyDescent="0.3">
      <c r="A199" s="329" t="s">
        <v>314</v>
      </c>
      <c r="B199" s="31" t="s">
        <v>751</v>
      </c>
      <c r="C199" s="329" t="s">
        <v>513</v>
      </c>
      <c r="D199" s="329">
        <v>17035</v>
      </c>
    </row>
    <row r="200" spans="1:4" ht="24.9" customHeight="1" x14ac:dyDescent="0.3">
      <c r="A200" s="30" t="s">
        <v>396</v>
      </c>
      <c r="B200" s="31" t="s">
        <v>829</v>
      </c>
      <c r="C200" s="329" t="s">
        <v>415</v>
      </c>
      <c r="D200" s="329">
        <v>17037</v>
      </c>
    </row>
    <row r="201" spans="1:4" ht="24.9" customHeight="1" x14ac:dyDescent="0.3">
      <c r="A201" s="30" t="s">
        <v>307</v>
      </c>
      <c r="B201" s="31" t="s">
        <v>731</v>
      </c>
      <c r="C201" s="329" t="s">
        <v>414</v>
      </c>
      <c r="D201" s="329">
        <v>17031</v>
      </c>
    </row>
    <row r="202" spans="1:4" ht="24.9" customHeight="1" x14ac:dyDescent="0.3">
      <c r="A202" s="30" t="s">
        <v>243</v>
      </c>
      <c r="B202" s="31" t="s">
        <v>676</v>
      </c>
      <c r="C202" s="329" t="s">
        <v>409</v>
      </c>
      <c r="D202" s="329">
        <v>17039</v>
      </c>
    </row>
    <row r="203" spans="1:4" ht="24.9" customHeight="1" x14ac:dyDescent="0.3">
      <c r="A203" s="30" t="s">
        <v>465</v>
      </c>
      <c r="B203" s="31" t="s">
        <v>611</v>
      </c>
      <c r="C203" s="329" t="s">
        <v>410</v>
      </c>
      <c r="D203" s="329">
        <v>17030</v>
      </c>
    </row>
    <row r="204" spans="1:4" ht="24.9" customHeight="1" x14ac:dyDescent="0.3">
      <c r="A204" s="30" t="s">
        <v>397</v>
      </c>
      <c r="B204" s="31" t="s">
        <v>853</v>
      </c>
      <c r="C204" s="329" t="s">
        <v>411</v>
      </c>
      <c r="D204" s="329">
        <v>17041</v>
      </c>
    </row>
    <row r="205" spans="1:4" ht="24.9" customHeight="1" x14ac:dyDescent="0.3">
      <c r="A205" s="30" t="s">
        <v>236</v>
      </c>
      <c r="B205" s="31" t="s">
        <v>806</v>
      </c>
      <c r="C205" s="329" t="s">
        <v>352</v>
      </c>
      <c r="D205" s="329">
        <v>17036</v>
      </c>
    </row>
    <row r="206" spans="1:4" ht="24.9" customHeight="1" x14ac:dyDescent="0.3">
      <c r="A206" s="329" t="s">
        <v>435</v>
      </c>
      <c r="B206" s="31" t="s">
        <v>854</v>
      </c>
      <c r="C206" s="329" t="s">
        <v>411</v>
      </c>
      <c r="D206" s="329">
        <v>17041</v>
      </c>
    </row>
    <row r="207" spans="1:4" ht="24.9" customHeight="1" x14ac:dyDescent="0.3">
      <c r="A207" s="30" t="s">
        <v>521</v>
      </c>
      <c r="B207" s="31" t="s">
        <v>807</v>
      </c>
      <c r="C207" s="329" t="s">
        <v>352</v>
      </c>
      <c r="D207" s="329">
        <v>17036</v>
      </c>
    </row>
    <row r="208" spans="1:4" ht="24.9" customHeight="1" x14ac:dyDescent="0.3">
      <c r="A208" s="329" t="s">
        <v>398</v>
      </c>
      <c r="B208" s="31" t="s">
        <v>612</v>
      </c>
      <c r="C208" s="329" t="s">
        <v>410</v>
      </c>
      <c r="D208" s="329">
        <v>17030</v>
      </c>
    </row>
    <row r="209" spans="1:4" ht="24.9" customHeight="1" x14ac:dyDescent="0.3">
      <c r="A209" s="30" t="s">
        <v>255</v>
      </c>
      <c r="B209" s="31" t="s">
        <v>808</v>
      </c>
      <c r="C209" s="329" t="s">
        <v>352</v>
      </c>
      <c r="D209" s="329">
        <v>17036</v>
      </c>
    </row>
    <row r="210" spans="1:4" ht="24.9" customHeight="1" x14ac:dyDescent="0.3">
      <c r="A210" s="30" t="s">
        <v>466</v>
      </c>
      <c r="B210" s="31" t="s">
        <v>677</v>
      </c>
      <c r="C210" s="329" t="s">
        <v>409</v>
      </c>
      <c r="D210" s="329">
        <v>17039</v>
      </c>
    </row>
    <row r="211" spans="1:4" ht="24.9" customHeight="1" x14ac:dyDescent="0.3">
      <c r="A211" s="30" t="s">
        <v>364</v>
      </c>
      <c r="B211" s="31" t="s">
        <v>855</v>
      </c>
      <c r="C211" s="329" t="s">
        <v>411</v>
      </c>
      <c r="D211" s="329">
        <v>17041</v>
      </c>
    </row>
    <row r="212" spans="1:4" ht="24.9" customHeight="1" x14ac:dyDescent="0.3">
      <c r="A212" s="30" t="s">
        <v>277</v>
      </c>
      <c r="B212" s="31" t="s">
        <v>613</v>
      </c>
      <c r="C212" s="329" t="s">
        <v>410</v>
      </c>
      <c r="D212" s="329">
        <v>17030</v>
      </c>
    </row>
    <row r="213" spans="1:4" ht="24.9" customHeight="1" x14ac:dyDescent="0.3">
      <c r="A213" s="30" t="s">
        <v>436</v>
      </c>
      <c r="B213" s="31" t="s">
        <v>809</v>
      </c>
      <c r="C213" s="329" t="s">
        <v>352</v>
      </c>
      <c r="D213" s="329">
        <v>17036</v>
      </c>
    </row>
    <row r="214" spans="1:4" ht="24.9" customHeight="1" x14ac:dyDescent="0.3">
      <c r="A214" s="30" t="s">
        <v>245</v>
      </c>
      <c r="B214" s="31" t="s">
        <v>678</v>
      </c>
      <c r="C214" s="329" t="s">
        <v>409</v>
      </c>
      <c r="D214" s="329">
        <v>17039</v>
      </c>
    </row>
    <row r="215" spans="1:4" ht="24.9" customHeight="1" x14ac:dyDescent="0.3">
      <c r="A215" s="30" t="s">
        <v>308</v>
      </c>
      <c r="B215" s="31" t="s">
        <v>679</v>
      </c>
      <c r="C215" s="329" t="s">
        <v>409</v>
      </c>
      <c r="D215" s="329">
        <v>17039</v>
      </c>
    </row>
    <row r="216" spans="1:4" ht="24.9" customHeight="1" x14ac:dyDescent="0.3">
      <c r="A216" s="30" t="s">
        <v>399</v>
      </c>
      <c r="B216" s="31" t="s">
        <v>856</v>
      </c>
      <c r="C216" s="329" t="s">
        <v>411</v>
      </c>
      <c r="D216" s="329">
        <v>17041</v>
      </c>
    </row>
    <row r="217" spans="1:4" ht="24.9" customHeight="1" x14ac:dyDescent="0.3">
      <c r="A217" s="329" t="s">
        <v>360</v>
      </c>
      <c r="B217" s="31" t="s">
        <v>700</v>
      </c>
      <c r="C217" s="329" t="s">
        <v>413</v>
      </c>
      <c r="D217" s="329">
        <v>17045</v>
      </c>
    </row>
    <row r="218" spans="1:4" ht="24.9" customHeight="1" x14ac:dyDescent="0.3">
      <c r="A218" s="30" t="s">
        <v>249</v>
      </c>
      <c r="B218" s="31" t="s">
        <v>752</v>
      </c>
      <c r="C218" s="329" t="s">
        <v>513</v>
      </c>
      <c r="D218" s="329">
        <v>17035</v>
      </c>
    </row>
    <row r="219" spans="1:4" ht="24.9" customHeight="1" x14ac:dyDescent="0.3">
      <c r="A219" s="30" t="s">
        <v>857</v>
      </c>
      <c r="B219" s="31" t="s">
        <v>858</v>
      </c>
      <c r="C219" s="329" t="s">
        <v>411</v>
      </c>
      <c r="D219" s="329">
        <v>17041</v>
      </c>
    </row>
    <row r="220" spans="1:4" ht="24.9" customHeight="1" x14ac:dyDescent="0.3">
      <c r="A220" s="30" t="s">
        <v>251</v>
      </c>
      <c r="B220" s="31" t="s">
        <v>563</v>
      </c>
      <c r="C220" s="329" t="s">
        <v>353</v>
      </c>
      <c r="D220" s="329">
        <v>17026</v>
      </c>
    </row>
    <row r="221" spans="1:4" ht="24.9" customHeight="1" x14ac:dyDescent="0.3">
      <c r="A221" s="329" t="s">
        <v>505</v>
      </c>
      <c r="B221" s="31" t="s">
        <v>701</v>
      </c>
      <c r="C221" s="329" t="s">
        <v>413</v>
      </c>
      <c r="D221" s="329">
        <v>17045</v>
      </c>
    </row>
    <row r="222" spans="1:4" ht="24.9" customHeight="1" x14ac:dyDescent="0.3">
      <c r="A222" s="30" t="s">
        <v>400</v>
      </c>
      <c r="B222" s="31" t="s">
        <v>614</v>
      </c>
      <c r="C222" s="329" t="s">
        <v>410</v>
      </c>
      <c r="D222" s="329">
        <v>17030</v>
      </c>
    </row>
    <row r="223" spans="1:4" ht="24.9" customHeight="1" x14ac:dyDescent="0.3">
      <c r="A223" s="30" t="s">
        <v>496</v>
      </c>
      <c r="B223" s="31" t="s">
        <v>615</v>
      </c>
      <c r="C223" s="329" t="s">
        <v>410</v>
      </c>
      <c r="D223" s="329">
        <v>17030</v>
      </c>
    </row>
    <row r="224" spans="1:4" ht="24.9" customHeight="1" x14ac:dyDescent="0.3">
      <c r="A224" s="329" t="s">
        <v>616</v>
      </c>
      <c r="B224" s="31" t="s">
        <v>617</v>
      </c>
      <c r="C224" s="329" t="s">
        <v>410</v>
      </c>
      <c r="D224" s="329">
        <v>17030</v>
      </c>
    </row>
    <row r="225" spans="1:4" ht="24.9" customHeight="1" x14ac:dyDescent="0.3">
      <c r="A225" s="30" t="s">
        <v>467</v>
      </c>
      <c r="B225" s="31" t="s">
        <v>810</v>
      </c>
      <c r="C225" s="329" t="s">
        <v>352</v>
      </c>
      <c r="D225" s="329">
        <v>17036</v>
      </c>
    </row>
    <row r="226" spans="1:4" ht="24.9" customHeight="1" x14ac:dyDescent="0.3">
      <c r="A226" s="329" t="s">
        <v>533</v>
      </c>
      <c r="B226" s="31" t="s">
        <v>859</v>
      </c>
      <c r="C226" s="329" t="s">
        <v>411</v>
      </c>
      <c r="D226" s="329">
        <v>17041</v>
      </c>
    </row>
    <row r="227" spans="1:4" ht="24.9" customHeight="1" x14ac:dyDescent="0.3">
      <c r="A227" s="30" t="s">
        <v>497</v>
      </c>
      <c r="B227" s="31" t="s">
        <v>618</v>
      </c>
      <c r="C227" s="329" t="s">
        <v>410</v>
      </c>
      <c r="D227" s="329">
        <v>17030</v>
      </c>
    </row>
    <row r="228" spans="1:4" ht="24.9" customHeight="1" x14ac:dyDescent="0.3">
      <c r="A228" s="30" t="s">
        <v>246</v>
      </c>
      <c r="B228" s="31" t="s">
        <v>680</v>
      </c>
      <c r="C228" s="329" t="s">
        <v>409</v>
      </c>
      <c r="D228" s="329">
        <v>17039</v>
      </c>
    </row>
    <row r="229" spans="1:4" ht="24.9" customHeight="1" x14ac:dyDescent="0.3">
      <c r="A229" s="30" t="s">
        <v>468</v>
      </c>
      <c r="B229" s="31" t="s">
        <v>811</v>
      </c>
      <c r="C229" s="329" t="s">
        <v>352</v>
      </c>
      <c r="D229" s="329">
        <v>17036</v>
      </c>
    </row>
    <row r="230" spans="1:4" ht="24.9" customHeight="1" x14ac:dyDescent="0.3">
      <c r="A230" s="30" t="s">
        <v>443</v>
      </c>
      <c r="B230" s="31" t="s">
        <v>860</v>
      </c>
      <c r="C230" s="329" t="s">
        <v>411</v>
      </c>
      <c r="D230" s="329">
        <v>17041</v>
      </c>
    </row>
    <row r="231" spans="1:4" ht="24.9" customHeight="1" x14ac:dyDescent="0.3">
      <c r="A231" s="329" t="s">
        <v>490</v>
      </c>
      <c r="B231" s="31" t="s">
        <v>564</v>
      </c>
      <c r="C231" s="329" t="s">
        <v>353</v>
      </c>
      <c r="D231" s="329">
        <v>17026</v>
      </c>
    </row>
    <row r="232" spans="1:4" ht="24.9" customHeight="1" x14ac:dyDescent="0.3">
      <c r="A232" s="329" t="s">
        <v>263</v>
      </c>
      <c r="B232" s="31" t="s">
        <v>681</v>
      </c>
      <c r="C232" s="329" t="s">
        <v>409</v>
      </c>
      <c r="D232" s="329">
        <v>17039</v>
      </c>
    </row>
    <row r="233" spans="1:4" ht="24.9" customHeight="1" x14ac:dyDescent="0.3">
      <c r="A233" s="30" t="s">
        <v>300</v>
      </c>
      <c r="B233" s="31" t="s">
        <v>861</v>
      </c>
      <c r="C233" s="329" t="s">
        <v>411</v>
      </c>
      <c r="D233" s="329">
        <v>17041</v>
      </c>
    </row>
    <row r="234" spans="1:4" ht="24.9" customHeight="1" x14ac:dyDescent="0.3">
      <c r="A234" s="30" t="s">
        <v>401</v>
      </c>
      <c r="B234" s="31" t="s">
        <v>862</v>
      </c>
      <c r="C234" s="329" t="s">
        <v>411</v>
      </c>
      <c r="D234" s="329">
        <v>17041</v>
      </c>
    </row>
    <row r="235" spans="1:4" ht="24.9" customHeight="1" x14ac:dyDescent="0.3">
      <c r="A235" s="30" t="s">
        <v>254</v>
      </c>
      <c r="B235" s="31" t="s">
        <v>863</v>
      </c>
      <c r="C235" s="329" t="s">
        <v>411</v>
      </c>
      <c r="D235" s="329">
        <v>17041</v>
      </c>
    </row>
    <row r="236" spans="1:4" ht="24.9" customHeight="1" x14ac:dyDescent="0.3">
      <c r="A236" s="30" t="s">
        <v>293</v>
      </c>
      <c r="B236" s="31" t="s">
        <v>812</v>
      </c>
      <c r="C236" s="329" t="s">
        <v>352</v>
      </c>
      <c r="D236" s="329">
        <v>17036</v>
      </c>
    </row>
    <row r="237" spans="1:4" ht="24.9" customHeight="1" x14ac:dyDescent="0.3">
      <c r="A237" s="329" t="s">
        <v>864</v>
      </c>
      <c r="B237" s="31" t="s">
        <v>865</v>
      </c>
      <c r="C237" s="329" t="s">
        <v>411</v>
      </c>
      <c r="D237" s="329">
        <v>17041</v>
      </c>
    </row>
    <row r="238" spans="1:4" ht="24.9" customHeight="1" x14ac:dyDescent="0.3">
      <c r="A238" s="329" t="s">
        <v>469</v>
      </c>
      <c r="B238" s="31" t="s">
        <v>866</v>
      </c>
      <c r="C238" s="329" t="s">
        <v>411</v>
      </c>
      <c r="D238" s="329">
        <v>17041</v>
      </c>
    </row>
    <row r="239" spans="1:4" ht="24.9" customHeight="1" x14ac:dyDescent="0.3">
      <c r="A239" s="329" t="s">
        <v>240</v>
      </c>
      <c r="B239" s="31" t="s">
        <v>565</v>
      </c>
      <c r="C239" s="329" t="s">
        <v>353</v>
      </c>
      <c r="D239" s="329">
        <v>17026</v>
      </c>
    </row>
    <row r="240" spans="1:4" ht="24.9" customHeight="1" x14ac:dyDescent="0.3">
      <c r="A240" s="30" t="s">
        <v>867</v>
      </c>
      <c r="B240" s="31" t="s">
        <v>868</v>
      </c>
      <c r="C240" s="329" t="s">
        <v>411</v>
      </c>
      <c r="D240" s="329">
        <v>17041</v>
      </c>
    </row>
    <row r="241" spans="1:4" ht="24.9" customHeight="1" x14ac:dyDescent="0.3">
      <c r="A241" s="329" t="s">
        <v>437</v>
      </c>
      <c r="B241" s="31" t="s">
        <v>619</v>
      </c>
      <c r="C241" s="329" t="s">
        <v>410</v>
      </c>
      <c r="D241" s="329">
        <v>17030</v>
      </c>
    </row>
    <row r="242" spans="1:4" ht="24.9" customHeight="1" x14ac:dyDescent="0.3">
      <c r="A242" s="329" t="s">
        <v>982</v>
      </c>
      <c r="B242" s="31" t="s">
        <v>983</v>
      </c>
      <c r="C242" s="329" t="s">
        <v>513</v>
      </c>
      <c r="D242" s="329">
        <v>17035</v>
      </c>
    </row>
    <row r="243" spans="1:4" ht="24.9" customHeight="1" x14ac:dyDescent="0.3">
      <c r="A243" s="329" t="s">
        <v>522</v>
      </c>
      <c r="B243" s="31" t="s">
        <v>813</v>
      </c>
      <c r="C243" s="329" t="s">
        <v>352</v>
      </c>
      <c r="D243" s="329">
        <v>17036</v>
      </c>
    </row>
    <row r="244" spans="1:4" ht="24.9" customHeight="1" x14ac:dyDescent="0.3">
      <c r="A244" s="329" t="s">
        <v>361</v>
      </c>
      <c r="B244" s="31" t="s">
        <v>620</v>
      </c>
      <c r="C244" s="329" t="s">
        <v>410</v>
      </c>
      <c r="D244" s="329">
        <v>17030</v>
      </c>
    </row>
    <row r="245" spans="1:4" ht="24.9" customHeight="1" x14ac:dyDescent="0.3">
      <c r="A245" s="30" t="s">
        <v>402</v>
      </c>
      <c r="B245" s="31" t="s">
        <v>566</v>
      </c>
      <c r="C245" s="329" t="s">
        <v>353</v>
      </c>
      <c r="D245" s="329">
        <v>17026</v>
      </c>
    </row>
    <row r="246" spans="1:4" ht="24.9" customHeight="1" x14ac:dyDescent="0.3">
      <c r="A246" s="329" t="s">
        <v>506</v>
      </c>
      <c r="B246" s="31" t="s">
        <v>702</v>
      </c>
      <c r="C246" s="329" t="s">
        <v>413</v>
      </c>
      <c r="D246" s="329">
        <v>17045</v>
      </c>
    </row>
    <row r="247" spans="1:4" ht="24.9" customHeight="1" x14ac:dyDescent="0.3">
      <c r="A247" s="30" t="s">
        <v>259</v>
      </c>
      <c r="B247" s="31" t="s">
        <v>682</v>
      </c>
      <c r="C247" s="329" t="s">
        <v>409</v>
      </c>
      <c r="D247" s="329">
        <v>17039</v>
      </c>
    </row>
    <row r="248" spans="1:4" ht="24.9" customHeight="1" x14ac:dyDescent="0.3">
      <c r="A248" s="30" t="s">
        <v>507</v>
      </c>
      <c r="B248" s="31" t="s">
        <v>703</v>
      </c>
      <c r="C248" s="329" t="s">
        <v>413</v>
      </c>
      <c r="D248" s="329">
        <v>17045</v>
      </c>
    </row>
    <row r="249" spans="1:4" ht="24.9" customHeight="1" x14ac:dyDescent="0.3">
      <c r="A249" s="30" t="s">
        <v>438</v>
      </c>
      <c r="B249" s="31" t="s">
        <v>814</v>
      </c>
      <c r="C249" s="329" t="s">
        <v>352</v>
      </c>
      <c r="D249" s="329">
        <v>17036</v>
      </c>
    </row>
    <row r="250" spans="1:4" ht="24.9" customHeight="1" x14ac:dyDescent="0.3">
      <c r="A250" s="30" t="s">
        <v>439</v>
      </c>
      <c r="B250" s="31" t="s">
        <v>815</v>
      </c>
      <c r="C250" s="329" t="s">
        <v>352</v>
      </c>
      <c r="D250" s="329">
        <v>17036</v>
      </c>
    </row>
    <row r="251" spans="1:4" ht="24.9" customHeight="1" x14ac:dyDescent="0.3">
      <c r="A251" s="30" t="s">
        <v>885</v>
      </c>
      <c r="B251" s="31" t="s">
        <v>886</v>
      </c>
      <c r="C251" s="329" t="s">
        <v>513</v>
      </c>
      <c r="D251" s="329">
        <v>17035</v>
      </c>
    </row>
    <row r="252" spans="1:4" ht="24.9" customHeight="1" x14ac:dyDescent="0.3">
      <c r="A252" s="30" t="s">
        <v>621</v>
      </c>
      <c r="B252" s="31" t="s">
        <v>622</v>
      </c>
      <c r="C252" s="329" t="s">
        <v>410</v>
      </c>
      <c r="D252" s="329">
        <v>17030</v>
      </c>
    </row>
    <row r="253" spans="1:4" ht="24.9" customHeight="1" x14ac:dyDescent="0.3">
      <c r="A253" s="30" t="s">
        <v>354</v>
      </c>
      <c r="B253" s="31" t="s">
        <v>567</v>
      </c>
      <c r="C253" s="329" t="s">
        <v>353</v>
      </c>
      <c r="D253" s="329">
        <v>17026</v>
      </c>
    </row>
    <row r="254" spans="1:4" ht="24.9" customHeight="1" x14ac:dyDescent="0.3">
      <c r="A254" s="30" t="s">
        <v>498</v>
      </c>
      <c r="B254" s="31" t="s">
        <v>623</v>
      </c>
      <c r="C254" s="329" t="s">
        <v>410</v>
      </c>
      <c r="D254" s="329">
        <v>17030</v>
      </c>
    </row>
    <row r="255" spans="1:4" ht="24.9" customHeight="1" x14ac:dyDescent="0.3">
      <c r="A255" s="30" t="s">
        <v>472</v>
      </c>
      <c r="B255" s="31" t="s">
        <v>568</v>
      </c>
      <c r="C255" s="329" t="s">
        <v>413</v>
      </c>
      <c r="D255" s="329">
        <v>17045</v>
      </c>
    </row>
    <row r="256" spans="1:4" ht="24.9" customHeight="1" x14ac:dyDescent="0.3">
      <c r="A256" s="30" t="s">
        <v>295</v>
      </c>
      <c r="B256" s="31" t="s">
        <v>569</v>
      </c>
      <c r="C256" s="329" t="s">
        <v>353</v>
      </c>
      <c r="D256" s="329">
        <v>17026</v>
      </c>
    </row>
    <row r="257" spans="1:4" ht="24.9" customHeight="1" x14ac:dyDescent="0.3">
      <c r="A257" s="30" t="s">
        <v>281</v>
      </c>
      <c r="B257" s="31" t="s">
        <v>704</v>
      </c>
      <c r="C257" s="329" t="s">
        <v>413</v>
      </c>
      <c r="D257" s="329">
        <v>17045</v>
      </c>
    </row>
    <row r="258" spans="1:4" ht="24.9" customHeight="1" x14ac:dyDescent="0.3">
      <c r="A258" s="30" t="s">
        <v>289</v>
      </c>
      <c r="B258" s="31" t="s">
        <v>753</v>
      </c>
      <c r="C258" s="329" t="s">
        <v>513</v>
      </c>
      <c r="D258" s="329">
        <v>17035</v>
      </c>
    </row>
    <row r="259" spans="1:4" ht="24.9" customHeight="1" x14ac:dyDescent="0.3">
      <c r="A259" s="30" t="s">
        <v>754</v>
      </c>
      <c r="B259" s="31" t="s">
        <v>755</v>
      </c>
      <c r="C259" s="329" t="s">
        <v>513</v>
      </c>
      <c r="D259" s="329">
        <v>17035</v>
      </c>
    </row>
    <row r="260" spans="1:4" ht="24.9" customHeight="1" x14ac:dyDescent="0.3">
      <c r="A260" s="30" t="s">
        <v>261</v>
      </c>
      <c r="B260" s="31" t="s">
        <v>624</v>
      </c>
      <c r="C260" s="329" t="s">
        <v>410</v>
      </c>
      <c r="D260" s="329">
        <v>17030</v>
      </c>
    </row>
    <row r="261" spans="1:4" ht="24.9" customHeight="1" x14ac:dyDescent="0.3">
      <c r="A261" s="329" t="s">
        <v>315</v>
      </c>
      <c r="B261" s="31" t="s">
        <v>570</v>
      </c>
      <c r="C261" s="329" t="s">
        <v>353</v>
      </c>
      <c r="D261" s="329">
        <v>17026</v>
      </c>
    </row>
    <row r="262" spans="1:4" ht="24.9" customHeight="1" x14ac:dyDescent="0.3">
      <c r="A262" s="329" t="s">
        <v>508</v>
      </c>
      <c r="B262" s="31" t="s">
        <v>705</v>
      </c>
      <c r="C262" s="329" t="s">
        <v>413</v>
      </c>
      <c r="D262" s="329">
        <v>17045</v>
      </c>
    </row>
    <row r="263" spans="1:4" ht="24.9" customHeight="1" x14ac:dyDescent="0.3">
      <c r="A263" s="30" t="s">
        <v>367</v>
      </c>
      <c r="B263" s="31" t="s">
        <v>732</v>
      </c>
      <c r="C263" s="329" t="s">
        <v>414</v>
      </c>
      <c r="D263" s="329">
        <v>17031</v>
      </c>
    </row>
    <row r="264" spans="1:4" ht="24.9" customHeight="1" x14ac:dyDescent="0.3">
      <c r="A264" s="30" t="s">
        <v>365</v>
      </c>
      <c r="B264" s="31" t="s">
        <v>683</v>
      </c>
      <c r="C264" s="329" t="s">
        <v>409</v>
      </c>
      <c r="D264" s="329">
        <v>17039</v>
      </c>
    </row>
    <row r="265" spans="1:4" ht="24.9" customHeight="1" x14ac:dyDescent="0.3">
      <c r="A265" s="329" t="s">
        <v>403</v>
      </c>
      <c r="B265" s="31" t="s">
        <v>869</v>
      </c>
      <c r="C265" s="329" t="s">
        <v>411</v>
      </c>
      <c r="D265" s="329">
        <v>17041</v>
      </c>
    </row>
    <row r="266" spans="1:4" ht="24.9" customHeight="1" x14ac:dyDescent="0.3">
      <c r="A266" s="30" t="s">
        <v>470</v>
      </c>
      <c r="B266" s="31" t="s">
        <v>870</v>
      </c>
      <c r="C266" s="329" t="s">
        <v>411</v>
      </c>
      <c r="D266" s="329">
        <v>17041</v>
      </c>
    </row>
    <row r="267" spans="1:4" ht="24.9" customHeight="1" x14ac:dyDescent="0.3">
      <c r="A267" s="30" t="s">
        <v>534</v>
      </c>
      <c r="B267" s="31" t="s">
        <v>871</v>
      </c>
      <c r="C267" s="329" t="s">
        <v>411</v>
      </c>
      <c r="D267" s="329">
        <v>17041</v>
      </c>
    </row>
    <row r="268" spans="1:4" ht="24.9" customHeight="1" x14ac:dyDescent="0.3">
      <c r="A268" s="329" t="s">
        <v>471</v>
      </c>
      <c r="B268" s="31" t="s">
        <v>830</v>
      </c>
      <c r="C268" s="329" t="s">
        <v>415</v>
      </c>
      <c r="D268" s="329">
        <v>17037</v>
      </c>
    </row>
    <row r="269" spans="1:4" ht="24.9" customHeight="1" x14ac:dyDescent="0.3">
      <c r="A269" s="30" t="s">
        <v>504</v>
      </c>
      <c r="B269" s="31" t="s">
        <v>684</v>
      </c>
      <c r="C269" s="329" t="s">
        <v>409</v>
      </c>
      <c r="D269" s="329">
        <v>17039</v>
      </c>
    </row>
    <row r="270" spans="1:4" ht="24.9" customHeight="1" x14ac:dyDescent="0.3">
      <c r="A270" s="329" t="s">
        <v>512</v>
      </c>
      <c r="B270" s="31" t="s">
        <v>733</v>
      </c>
      <c r="C270" s="329" t="s">
        <v>414</v>
      </c>
      <c r="D270" s="329">
        <v>17031</v>
      </c>
    </row>
    <row r="271" spans="1:4" ht="24.9" customHeight="1" x14ac:dyDescent="0.3">
      <c r="A271" s="30" t="s">
        <v>535</v>
      </c>
      <c r="B271" s="31" t="s">
        <v>872</v>
      </c>
      <c r="C271" s="329" t="s">
        <v>411</v>
      </c>
      <c r="D271" s="329">
        <v>17041</v>
      </c>
    </row>
    <row r="272" spans="1:4" ht="24.9" customHeight="1" x14ac:dyDescent="0.3">
      <c r="A272" s="30" t="s">
        <v>706</v>
      </c>
      <c r="B272" s="31" t="s">
        <v>707</v>
      </c>
      <c r="C272" s="329" t="s">
        <v>413</v>
      </c>
      <c r="D272" s="329">
        <v>17045</v>
      </c>
    </row>
    <row r="273" spans="1:4" ht="24.9" customHeight="1" x14ac:dyDescent="0.3">
      <c r="A273" s="329" t="s">
        <v>274</v>
      </c>
      <c r="B273" s="31" t="s">
        <v>816</v>
      </c>
      <c r="C273" s="329" t="s">
        <v>352</v>
      </c>
      <c r="D273" s="329">
        <v>17036</v>
      </c>
    </row>
    <row r="274" spans="1:4" ht="24.9" customHeight="1" x14ac:dyDescent="0.3">
      <c r="A274" s="329" t="s">
        <v>368</v>
      </c>
      <c r="B274" s="31" t="s">
        <v>685</v>
      </c>
      <c r="C274" s="329" t="s">
        <v>409</v>
      </c>
      <c r="D274" s="329">
        <v>17039</v>
      </c>
    </row>
    <row r="275" spans="1:4" ht="24.9" customHeight="1" x14ac:dyDescent="0.3">
      <c r="A275" s="30" t="s">
        <v>756</v>
      </c>
      <c r="B275" s="31" t="s">
        <v>757</v>
      </c>
      <c r="C275" s="329" t="s">
        <v>513</v>
      </c>
      <c r="D275" s="329">
        <v>17035</v>
      </c>
    </row>
    <row r="276" spans="1:4" ht="24.9" customHeight="1" x14ac:dyDescent="0.3">
      <c r="A276" s="30" t="s">
        <v>404</v>
      </c>
      <c r="B276" s="31" t="s">
        <v>758</v>
      </c>
      <c r="C276" s="329" t="s">
        <v>513</v>
      </c>
      <c r="D276" s="329">
        <v>17035</v>
      </c>
    </row>
    <row r="277" spans="1:4" ht="24.9" customHeight="1" x14ac:dyDescent="0.3">
      <c r="A277" s="329" t="s">
        <v>405</v>
      </c>
      <c r="B277" s="31" t="s">
        <v>817</v>
      </c>
      <c r="C277" s="329" t="s">
        <v>352</v>
      </c>
      <c r="D277" s="329">
        <v>17036</v>
      </c>
    </row>
    <row r="278" spans="1:4" ht="24.9" customHeight="1" x14ac:dyDescent="0.3">
      <c r="A278" s="30" t="s">
        <v>359</v>
      </c>
      <c r="B278" s="31" t="s">
        <v>734</v>
      </c>
      <c r="C278" s="329" t="s">
        <v>414</v>
      </c>
      <c r="D278" s="329">
        <v>17031</v>
      </c>
    </row>
    <row r="279" spans="1:4" ht="24.9" customHeight="1" x14ac:dyDescent="0.3">
      <c r="A279" s="329" t="s">
        <v>473</v>
      </c>
      <c r="B279" s="31" t="s">
        <v>571</v>
      </c>
      <c r="C279" s="329" t="s">
        <v>353</v>
      </c>
      <c r="D279" s="329">
        <v>17026</v>
      </c>
    </row>
    <row r="280" spans="1:4" ht="24.9" customHeight="1" x14ac:dyDescent="0.3">
      <c r="A280" s="329" t="s">
        <v>499</v>
      </c>
      <c r="B280" s="31" t="s">
        <v>625</v>
      </c>
      <c r="C280" s="329" t="s">
        <v>410</v>
      </c>
      <c r="D280" s="329">
        <v>17030</v>
      </c>
    </row>
    <row r="281" spans="1:4" ht="24.9" customHeight="1" x14ac:dyDescent="0.3">
      <c r="A281" s="329" t="s">
        <v>317</v>
      </c>
      <c r="B281" s="31" t="s">
        <v>686</v>
      </c>
      <c r="C281" s="329" t="s">
        <v>409</v>
      </c>
      <c r="D281" s="329">
        <v>17039</v>
      </c>
    </row>
    <row r="282" spans="1:4" ht="24.9" customHeight="1" x14ac:dyDescent="0.3">
      <c r="A282" s="329" t="s">
        <v>406</v>
      </c>
      <c r="B282" s="31" t="s">
        <v>873</v>
      </c>
      <c r="C282" s="329" t="s">
        <v>411</v>
      </c>
      <c r="D282" s="329">
        <v>17041</v>
      </c>
    </row>
    <row r="283" spans="1:4" ht="24.9" customHeight="1" x14ac:dyDescent="0.3">
      <c r="A283" s="329" t="s">
        <v>264</v>
      </c>
      <c r="B283" s="31" t="s">
        <v>626</v>
      </c>
      <c r="C283" s="329" t="s">
        <v>410</v>
      </c>
      <c r="D283" s="329">
        <v>17030</v>
      </c>
    </row>
    <row r="284" spans="1:4" ht="24.9" customHeight="1" x14ac:dyDescent="0.3">
      <c r="A284" s="329" t="s">
        <v>363</v>
      </c>
      <c r="B284" s="31" t="s">
        <v>627</v>
      </c>
      <c r="C284" s="329" t="s">
        <v>410</v>
      </c>
      <c r="D284" s="329">
        <v>17030</v>
      </c>
    </row>
    <row r="285" spans="1:4" ht="24.9" customHeight="1" x14ac:dyDescent="0.3">
      <c r="A285" s="329" t="s">
        <v>491</v>
      </c>
      <c r="B285" s="31" t="s">
        <v>572</v>
      </c>
      <c r="C285" s="329" t="s">
        <v>353</v>
      </c>
      <c r="D285" s="329">
        <v>17026</v>
      </c>
    </row>
    <row r="286" spans="1:4" ht="24.9" customHeight="1" x14ac:dyDescent="0.3">
      <c r="A286" s="30" t="s">
        <v>376</v>
      </c>
      <c r="B286" s="31" t="s">
        <v>735</v>
      </c>
      <c r="C286" s="329" t="s">
        <v>409</v>
      </c>
      <c r="D286" s="329">
        <v>17039</v>
      </c>
    </row>
    <row r="287" spans="1:4" ht="24.9" customHeight="1" x14ac:dyDescent="0.3">
      <c r="A287" s="329" t="s">
        <v>708</v>
      </c>
      <c r="B287" s="31" t="s">
        <v>709</v>
      </c>
      <c r="C287" s="329" t="s">
        <v>413</v>
      </c>
      <c r="D287" s="329">
        <v>17045</v>
      </c>
    </row>
    <row r="288" spans="1:4" ht="24.9" customHeight="1" x14ac:dyDescent="0.3">
      <c r="A288" s="329" t="s">
        <v>509</v>
      </c>
      <c r="B288" s="31" t="s">
        <v>710</v>
      </c>
      <c r="C288" s="329" t="s">
        <v>413</v>
      </c>
      <c r="D288" s="329">
        <v>17045</v>
      </c>
    </row>
    <row r="289" spans="1:4" ht="24.9" customHeight="1" x14ac:dyDescent="0.3">
      <c r="A289" s="30" t="s">
        <v>407</v>
      </c>
      <c r="B289" s="31" t="s">
        <v>759</v>
      </c>
      <c r="C289" s="329" t="s">
        <v>513</v>
      </c>
      <c r="D289" s="329">
        <v>17035</v>
      </c>
    </row>
    <row r="290" spans="1:4" ht="24.9" customHeight="1" x14ac:dyDescent="0.3">
      <c r="A290" s="329" t="s">
        <v>475</v>
      </c>
      <c r="B290" s="31" t="s">
        <v>711</v>
      </c>
      <c r="C290" s="329" t="s">
        <v>413</v>
      </c>
      <c r="D290" s="329">
        <v>17045</v>
      </c>
    </row>
    <row r="291" spans="1:4" ht="24.9" customHeight="1" x14ac:dyDescent="0.3">
      <c r="A291" s="329" t="s">
        <v>312</v>
      </c>
      <c r="B291" s="31" t="s">
        <v>818</v>
      </c>
      <c r="C291" s="329" t="s">
        <v>352</v>
      </c>
      <c r="D291" s="329">
        <v>17036</v>
      </c>
    </row>
    <row r="292" spans="1:4" ht="24.9" customHeight="1" x14ac:dyDescent="0.3">
      <c r="A292" s="30" t="s">
        <v>327</v>
      </c>
      <c r="B292" s="31" t="s">
        <v>736</v>
      </c>
      <c r="C292" s="329" t="s">
        <v>414</v>
      </c>
      <c r="D292" s="329">
        <v>17031</v>
      </c>
    </row>
    <row r="293" spans="1:4" ht="24.9" customHeight="1" x14ac:dyDescent="0.3">
      <c r="A293" s="30" t="s">
        <v>270</v>
      </c>
      <c r="B293" s="31" t="s">
        <v>573</v>
      </c>
      <c r="C293" s="329" t="s">
        <v>353</v>
      </c>
      <c r="D293" s="329">
        <v>17026</v>
      </c>
    </row>
    <row r="294" spans="1:4" ht="24.9" customHeight="1" x14ac:dyDescent="0.3">
      <c r="A294" s="30" t="s">
        <v>819</v>
      </c>
      <c r="B294" s="31" t="s">
        <v>820</v>
      </c>
      <c r="C294" s="329" t="s">
        <v>352</v>
      </c>
      <c r="D294" s="329">
        <v>17036</v>
      </c>
    </row>
    <row r="295" spans="1:4" ht="24.9" customHeight="1" x14ac:dyDescent="0.3">
      <c r="A295" s="30" t="s">
        <v>310</v>
      </c>
      <c r="B295" s="31" t="s">
        <v>640</v>
      </c>
      <c r="C295" s="329" t="s">
        <v>412</v>
      </c>
      <c r="D295" s="329">
        <v>17040</v>
      </c>
    </row>
    <row r="296" spans="1:4" ht="24.9" customHeight="1" x14ac:dyDescent="0.3">
      <c r="A296" s="329" t="s">
        <v>311</v>
      </c>
      <c r="B296" s="31" t="s">
        <v>641</v>
      </c>
      <c r="C296" s="329" t="s">
        <v>412</v>
      </c>
      <c r="D296" s="329">
        <v>17040</v>
      </c>
    </row>
    <row r="297" spans="1:4" ht="24.9" customHeight="1" x14ac:dyDescent="0.3">
      <c r="A297" s="329" t="s">
        <v>510</v>
      </c>
      <c r="B297" s="31" t="s">
        <v>712</v>
      </c>
      <c r="C297" s="329" t="s">
        <v>413</v>
      </c>
      <c r="D297" s="329">
        <v>17045</v>
      </c>
    </row>
    <row r="298" spans="1:4" ht="24.9" customHeight="1" x14ac:dyDescent="0.3">
      <c r="A298" s="30" t="s">
        <v>268</v>
      </c>
      <c r="B298" s="31" t="s">
        <v>760</v>
      </c>
      <c r="C298" s="329" t="s">
        <v>513</v>
      </c>
      <c r="D298" s="329">
        <v>17035</v>
      </c>
    </row>
    <row r="299" spans="1:4" ht="24.9" customHeight="1" x14ac:dyDescent="0.3">
      <c r="A299" s="30" t="s">
        <v>536</v>
      </c>
      <c r="B299" s="31" t="s">
        <v>874</v>
      </c>
      <c r="C299" s="329" t="s">
        <v>411</v>
      </c>
      <c r="D299" s="329">
        <v>17041</v>
      </c>
    </row>
    <row r="300" spans="1:4" ht="24.9" customHeight="1" x14ac:dyDescent="0.3">
      <c r="A300" s="30" t="s">
        <v>687</v>
      </c>
      <c r="B300" s="31" t="s">
        <v>688</v>
      </c>
      <c r="C300" s="329" t="s">
        <v>409</v>
      </c>
      <c r="D300" s="329">
        <v>17039</v>
      </c>
    </row>
    <row r="301" spans="1:4" ht="24.9" customHeight="1" x14ac:dyDescent="0.3">
      <c r="A301" s="329" t="s">
        <v>440</v>
      </c>
      <c r="B301" s="31" t="s">
        <v>628</v>
      </c>
      <c r="C301" s="329" t="s">
        <v>410</v>
      </c>
      <c r="D301" s="329">
        <v>17030</v>
      </c>
    </row>
    <row r="302" spans="1:4" ht="24.9" customHeight="1" x14ac:dyDescent="0.3">
      <c r="A302" s="30" t="s">
        <v>629</v>
      </c>
      <c r="B302" s="31" t="s">
        <v>630</v>
      </c>
      <c r="C302" s="329" t="s">
        <v>410</v>
      </c>
      <c r="D302" s="329">
        <v>17030</v>
      </c>
    </row>
    <row r="303" spans="1:4" ht="24.9" customHeight="1" x14ac:dyDescent="0.3">
      <c r="A303" s="329" t="s">
        <v>276</v>
      </c>
      <c r="B303" s="31" t="s">
        <v>875</v>
      </c>
      <c r="C303" s="329" t="s">
        <v>411</v>
      </c>
      <c r="D303" s="329">
        <v>17041</v>
      </c>
    </row>
    <row r="304" spans="1:4" ht="24.9" customHeight="1" x14ac:dyDescent="0.3">
      <c r="A304" s="329" t="s">
        <v>441</v>
      </c>
      <c r="B304" s="31" t="s">
        <v>642</v>
      </c>
      <c r="C304" s="329" t="s">
        <v>412</v>
      </c>
      <c r="D304" s="329">
        <v>17040</v>
      </c>
    </row>
    <row r="305" spans="1:4" ht="24.9" customHeight="1" x14ac:dyDescent="0.3">
      <c r="A305" s="329" t="s">
        <v>408</v>
      </c>
      <c r="B305" s="31" t="s">
        <v>689</v>
      </c>
      <c r="C305" s="329" t="s">
        <v>409</v>
      </c>
      <c r="D305" s="329">
        <v>17039</v>
      </c>
    </row>
    <row r="306" spans="1:4" ht="24.9" customHeight="1" x14ac:dyDescent="0.3">
      <c r="A306" s="30" t="s">
        <v>326</v>
      </c>
      <c r="B306" s="31" t="s">
        <v>574</v>
      </c>
      <c r="C306" s="329" t="s">
        <v>353</v>
      </c>
      <c r="D306" s="329">
        <v>17026</v>
      </c>
    </row>
    <row r="307" spans="1:4" ht="24.9" customHeight="1" x14ac:dyDescent="0.3">
      <c r="A307" s="329"/>
      <c r="B307" s="31"/>
      <c r="C307" s="329"/>
      <c r="D307" s="329"/>
    </row>
    <row r="308" spans="1:4" ht="24.9" customHeight="1" x14ac:dyDescent="0.3">
      <c r="A308" s="30"/>
      <c r="B308" s="31"/>
      <c r="C308" s="329"/>
      <c r="D308" s="329"/>
    </row>
    <row r="309" spans="1:4" ht="24.9" customHeight="1" x14ac:dyDescent="0.3">
      <c r="A309" s="30"/>
      <c r="B309" s="31"/>
      <c r="C309" s="329"/>
      <c r="D309" s="329"/>
    </row>
    <row r="310" spans="1:4" ht="24.9" customHeight="1" x14ac:dyDescent="0.3">
      <c r="A310" s="30"/>
      <c r="B310" s="31"/>
      <c r="C310" s="329"/>
      <c r="D310" s="329"/>
    </row>
    <row r="311" spans="1:4" ht="24.9" customHeight="1" x14ac:dyDescent="0.3">
      <c r="A311" s="30"/>
      <c r="B311" s="31"/>
      <c r="C311" s="329"/>
      <c r="D311" s="329"/>
    </row>
    <row r="312" spans="1:4" ht="24.9" customHeight="1" x14ac:dyDescent="0.3">
      <c r="A312" s="30"/>
      <c r="B312" s="31"/>
      <c r="C312" s="329"/>
      <c r="D312" s="329"/>
    </row>
    <row r="313" spans="1:4" ht="24.9" customHeight="1" x14ac:dyDescent="0.3">
      <c r="A313" s="30"/>
      <c r="B313" s="31"/>
      <c r="C313" s="329"/>
      <c r="D313" s="329"/>
    </row>
    <row r="314" spans="1:4" ht="24.9" customHeight="1" x14ac:dyDescent="0.3">
      <c r="A314" s="30"/>
      <c r="B314" s="31"/>
      <c r="C314" s="329"/>
      <c r="D314" s="329"/>
    </row>
    <row r="315" spans="1:4" ht="24.9" customHeight="1" x14ac:dyDescent="0.3">
      <c r="A315" s="30"/>
      <c r="B315" s="31"/>
      <c r="C315" s="329"/>
      <c r="D315" s="329"/>
    </row>
    <row r="316" spans="1:4" ht="24.9" customHeight="1" x14ac:dyDescent="0.3">
      <c r="A316" s="30"/>
      <c r="B316" s="31"/>
      <c r="C316" s="329"/>
      <c r="D316" s="329"/>
    </row>
    <row r="317" spans="1:4" ht="24.9" customHeight="1" x14ac:dyDescent="0.3">
      <c r="A317" s="30"/>
      <c r="B317" s="31"/>
      <c r="C317" s="329"/>
      <c r="D317" s="329"/>
    </row>
    <row r="318" spans="1:4" ht="24.9" customHeight="1" x14ac:dyDescent="0.3">
      <c r="A318" s="30"/>
      <c r="B318" s="31"/>
      <c r="C318" s="329"/>
      <c r="D318" s="329"/>
    </row>
    <row r="319" spans="1:4" ht="24.9" customHeight="1" x14ac:dyDescent="0.3">
      <c r="A319" s="30"/>
      <c r="B319" s="31"/>
      <c r="C319" s="329"/>
      <c r="D319" s="329"/>
    </row>
    <row r="320" spans="1:4" ht="24.9" customHeight="1" x14ac:dyDescent="0.3">
      <c r="A320" s="30"/>
      <c r="B320" s="31"/>
      <c r="C320" s="329"/>
      <c r="D320" s="329"/>
    </row>
    <row r="321" spans="1:4" ht="24.9" customHeight="1" x14ac:dyDescent="0.3">
      <c r="A321" s="30"/>
      <c r="B321" s="31"/>
      <c r="C321" s="329"/>
      <c r="D321" s="329"/>
    </row>
    <row r="322" spans="1:4" ht="24.9" customHeight="1" x14ac:dyDescent="0.3">
      <c r="A322" s="30"/>
      <c r="B322" s="31"/>
      <c r="C322" s="329"/>
      <c r="D322" s="329"/>
    </row>
    <row r="323" spans="1:4" ht="24.9" customHeight="1" x14ac:dyDescent="0.3">
      <c r="A323" s="30"/>
      <c r="B323" s="31"/>
      <c r="C323" s="329"/>
      <c r="D323" s="329"/>
    </row>
    <row r="324" spans="1:4" ht="24.9" customHeight="1" x14ac:dyDescent="0.3">
      <c r="A324" s="30"/>
      <c r="B324" s="31"/>
      <c r="C324" s="329"/>
      <c r="D324" s="329"/>
    </row>
    <row r="325" spans="1:4" ht="24.9" customHeight="1" x14ac:dyDescent="0.3">
      <c r="A325" s="30"/>
      <c r="B325" s="31"/>
      <c r="C325" s="329"/>
      <c r="D325" s="329"/>
    </row>
    <row r="326" spans="1:4" ht="24.9" customHeight="1" x14ac:dyDescent="0.3">
      <c r="A326" s="30"/>
      <c r="B326" s="31"/>
      <c r="C326" s="329"/>
      <c r="D326" s="329"/>
    </row>
    <row r="327" spans="1:4" ht="24.9" customHeight="1" x14ac:dyDescent="0.3">
      <c r="A327" s="30"/>
      <c r="B327" s="31"/>
      <c r="C327" s="329"/>
      <c r="D327" s="329"/>
    </row>
    <row r="328" spans="1:4" ht="24.9" customHeight="1" x14ac:dyDescent="0.3">
      <c r="A328" s="30"/>
      <c r="B328" s="31"/>
      <c r="C328" s="329"/>
      <c r="D328" s="329"/>
    </row>
    <row r="329" spans="1:4" ht="24.9" customHeight="1" x14ac:dyDescent="0.3">
      <c r="A329" s="30"/>
      <c r="B329" s="31"/>
      <c r="C329" s="329"/>
      <c r="D329" s="329"/>
    </row>
    <row r="330" spans="1:4" ht="24.9" customHeight="1" x14ac:dyDescent="0.3">
      <c r="A330" s="30"/>
      <c r="B330" s="31"/>
      <c r="C330" s="329"/>
      <c r="D330" s="329"/>
    </row>
    <row r="331" spans="1:4" ht="24.9" customHeight="1" x14ac:dyDescent="0.3">
      <c r="A331" s="30"/>
      <c r="B331" s="31"/>
      <c r="C331" s="329"/>
      <c r="D331" s="329"/>
    </row>
    <row r="332" spans="1:4" ht="24.9" customHeight="1" x14ac:dyDescent="0.3">
      <c r="A332" s="30"/>
      <c r="B332" s="31"/>
      <c r="C332" s="329"/>
      <c r="D332" s="329"/>
    </row>
    <row r="333" spans="1:4" ht="24.9" customHeight="1" x14ac:dyDescent="0.3">
      <c r="A333" s="30"/>
      <c r="B333" s="31"/>
      <c r="C333" s="329"/>
      <c r="D333" s="329"/>
    </row>
    <row r="334" spans="1:4" ht="24.9" customHeight="1" x14ac:dyDescent="0.3">
      <c r="A334" s="30"/>
      <c r="B334" s="31"/>
      <c r="C334" s="329"/>
      <c r="D334" s="329"/>
    </row>
    <row r="335" spans="1:4" ht="24.9" customHeight="1" x14ac:dyDescent="0.3">
      <c r="A335" s="30"/>
      <c r="B335" s="31"/>
      <c r="C335" s="329"/>
      <c r="D335" s="329"/>
    </row>
    <row r="336" spans="1:4" ht="24.9" customHeight="1" x14ac:dyDescent="0.3">
      <c r="A336" s="30"/>
      <c r="B336" s="31"/>
      <c r="C336" s="329"/>
      <c r="D336" s="329"/>
    </row>
    <row r="337" spans="1:4" ht="24.9" customHeight="1" x14ac:dyDescent="0.3">
      <c r="A337" s="30"/>
      <c r="B337" s="31"/>
      <c r="C337" s="329"/>
      <c r="D337" s="329"/>
    </row>
    <row r="338" spans="1:4" ht="24.9" customHeight="1" x14ac:dyDescent="0.3">
      <c r="A338" s="30"/>
      <c r="B338" s="31"/>
      <c r="C338" s="329"/>
      <c r="D338" s="329"/>
    </row>
    <row r="339" spans="1:4" ht="24.9" customHeight="1" x14ac:dyDescent="0.3">
      <c r="A339" s="30"/>
      <c r="B339" s="31"/>
      <c r="C339" s="329"/>
      <c r="D339" s="329"/>
    </row>
    <row r="340" spans="1:4" ht="24.9" customHeight="1" x14ac:dyDescent="0.3">
      <c r="A340" s="30"/>
      <c r="B340" s="31"/>
      <c r="C340" s="329"/>
      <c r="D340" s="329"/>
    </row>
    <row r="341" spans="1:4" ht="24.9" customHeight="1" x14ac:dyDescent="0.3">
      <c r="A341" s="30"/>
      <c r="B341" s="31"/>
      <c r="C341" s="329"/>
      <c r="D341" s="329"/>
    </row>
    <row r="342" spans="1:4" ht="24.9" customHeight="1" x14ac:dyDescent="0.3">
      <c r="A342" s="30"/>
      <c r="B342" s="31"/>
      <c r="C342" s="329"/>
      <c r="D342" s="329"/>
    </row>
    <row r="343" spans="1:4" ht="24.9" customHeight="1" x14ac:dyDescent="0.3">
      <c r="A343" s="30"/>
      <c r="B343" s="31"/>
      <c r="C343" s="329"/>
      <c r="D343" s="329"/>
    </row>
    <row r="344" spans="1:4" ht="24.9" customHeight="1" x14ac:dyDescent="0.3">
      <c r="A344" s="30"/>
      <c r="B344" s="31"/>
      <c r="C344" s="329"/>
      <c r="D344" s="329"/>
    </row>
    <row r="345" spans="1:4" ht="24.9" customHeight="1" x14ac:dyDescent="0.3">
      <c r="A345" s="30"/>
      <c r="B345" s="31"/>
      <c r="C345" s="329"/>
      <c r="D345" s="329"/>
    </row>
    <row r="346" spans="1:4" ht="24.9" customHeight="1" x14ac:dyDescent="0.3">
      <c r="A346" s="30"/>
      <c r="B346" s="31"/>
      <c r="C346" s="329"/>
      <c r="D346" s="329"/>
    </row>
    <row r="347" spans="1:4" ht="24.9" customHeight="1" x14ac:dyDescent="0.3">
      <c r="A347" s="30"/>
      <c r="B347" s="31"/>
      <c r="C347" s="329"/>
      <c r="D347" s="329"/>
    </row>
    <row r="348" spans="1:4" ht="24.9" customHeight="1" x14ac:dyDescent="0.3">
      <c r="A348" s="30"/>
      <c r="B348" s="31"/>
      <c r="C348" s="329"/>
      <c r="D348" s="329"/>
    </row>
    <row r="349" spans="1:4" ht="24.9" customHeight="1" x14ac:dyDescent="0.3">
      <c r="A349" s="30"/>
      <c r="B349" s="31"/>
      <c r="C349" s="329"/>
      <c r="D349" s="329"/>
    </row>
    <row r="350" spans="1:4" ht="24.9" customHeight="1" x14ac:dyDescent="0.3">
      <c r="A350" s="30"/>
      <c r="B350" s="31"/>
      <c r="C350" s="329"/>
      <c r="D350" s="329"/>
    </row>
    <row r="351" spans="1:4" ht="24.9" customHeight="1" x14ac:dyDescent="0.3">
      <c r="A351" s="30"/>
      <c r="B351" s="31"/>
      <c r="C351" s="329"/>
      <c r="D351" s="329"/>
    </row>
    <row r="352" spans="1:4" ht="24.9" customHeight="1" x14ac:dyDescent="0.3">
      <c r="A352" s="30"/>
      <c r="B352" s="31"/>
      <c r="C352" s="329"/>
      <c r="D352" s="329"/>
    </row>
    <row r="353" spans="1:4" ht="24.9" customHeight="1" x14ac:dyDescent="0.3">
      <c r="A353" s="30"/>
      <c r="B353" s="31"/>
      <c r="C353" s="329"/>
      <c r="D353" s="329"/>
    </row>
    <row r="354" spans="1:4" ht="24.9" customHeight="1" x14ac:dyDescent="0.3">
      <c r="A354" s="30"/>
      <c r="B354" s="31"/>
      <c r="C354" s="329"/>
      <c r="D354" s="329"/>
    </row>
    <row r="355" spans="1:4" ht="24.9" customHeight="1" x14ac:dyDescent="0.3">
      <c r="A355" s="30"/>
      <c r="B355" s="31"/>
      <c r="C355" s="329"/>
      <c r="D355" s="329"/>
    </row>
    <row r="356" spans="1:4" ht="24.9" customHeight="1" x14ac:dyDescent="0.3">
      <c r="A356" s="30"/>
      <c r="B356" s="31"/>
      <c r="C356" s="329"/>
      <c r="D356" s="329"/>
    </row>
    <row r="357" spans="1:4" ht="24.9" customHeight="1" x14ac:dyDescent="0.3">
      <c r="A357" s="30"/>
      <c r="B357" s="31"/>
      <c r="C357" s="329"/>
      <c r="D357" s="329"/>
    </row>
    <row r="358" spans="1:4" ht="24.9" customHeight="1" x14ac:dyDescent="0.3">
      <c r="A358" s="30"/>
      <c r="B358" s="31"/>
      <c r="C358" s="329"/>
      <c r="D358" s="329"/>
    </row>
    <row r="359" spans="1:4" ht="24.9" customHeight="1" x14ac:dyDescent="0.3">
      <c r="A359" s="30"/>
      <c r="B359" s="31"/>
      <c r="C359" s="329"/>
      <c r="D359" s="329"/>
    </row>
    <row r="360" spans="1:4" ht="24.9" customHeight="1" x14ac:dyDescent="0.3">
      <c r="A360" s="30"/>
      <c r="B360" s="31"/>
      <c r="C360" s="329"/>
      <c r="D360" s="329"/>
    </row>
    <row r="361" spans="1:4" ht="24.9" customHeight="1" x14ac:dyDescent="0.3">
      <c r="A361" s="30"/>
      <c r="B361" s="31"/>
      <c r="C361" s="329"/>
      <c r="D361" s="329"/>
    </row>
    <row r="362" spans="1:4" ht="24.9" customHeight="1" x14ac:dyDescent="0.3">
      <c r="A362" s="30"/>
      <c r="B362" s="31"/>
      <c r="C362" s="329"/>
      <c r="D362" s="329"/>
    </row>
    <row r="363" spans="1:4" ht="24.9" customHeight="1" x14ac:dyDescent="0.3">
      <c r="A363" s="30"/>
      <c r="B363" s="31"/>
      <c r="C363" s="329"/>
      <c r="D363" s="329"/>
    </row>
    <row r="364" spans="1:4" ht="24.9" customHeight="1" x14ac:dyDescent="0.3">
      <c r="A364" s="30"/>
      <c r="B364" s="31"/>
      <c r="C364" s="329"/>
      <c r="D364" s="329"/>
    </row>
    <row r="365" spans="1:4" ht="24.9" customHeight="1" x14ac:dyDescent="0.3">
      <c r="A365" s="30"/>
      <c r="B365" s="31"/>
      <c r="C365" s="329"/>
      <c r="D365" s="329"/>
    </row>
    <row r="366" spans="1:4" ht="24.9" customHeight="1" x14ac:dyDescent="0.3">
      <c r="A366" s="30"/>
      <c r="B366" s="31"/>
      <c r="C366" s="329"/>
      <c r="D366" s="329"/>
    </row>
    <row r="367" spans="1:4" ht="24.9" customHeight="1" x14ac:dyDescent="0.3">
      <c r="A367" s="30"/>
      <c r="B367" s="31"/>
      <c r="C367" s="329"/>
      <c r="D367" s="329"/>
    </row>
    <row r="368" spans="1:4" ht="24.9" customHeight="1" x14ac:dyDescent="0.3">
      <c r="A368" s="30"/>
      <c r="B368" s="31"/>
      <c r="C368" s="329"/>
      <c r="D368" s="329"/>
    </row>
    <row r="369" spans="1:4" ht="24.9" customHeight="1" x14ac:dyDescent="0.3">
      <c r="A369" s="30"/>
      <c r="B369" s="31"/>
      <c r="C369" s="329"/>
      <c r="D369" s="329"/>
    </row>
    <row r="370" spans="1:4" ht="24.9" customHeight="1" x14ac:dyDescent="0.3">
      <c r="A370" s="30"/>
      <c r="B370" s="31"/>
      <c r="C370" s="329"/>
      <c r="D370" s="329"/>
    </row>
    <row r="371" spans="1:4" ht="24.9" customHeight="1" x14ac:dyDescent="0.3">
      <c r="A371" s="30"/>
      <c r="B371" s="31"/>
      <c r="C371" s="329"/>
      <c r="D371" s="329"/>
    </row>
    <row r="372" spans="1:4" ht="24.9" customHeight="1" x14ac:dyDescent="0.3">
      <c r="A372" s="30"/>
      <c r="B372" s="31"/>
      <c r="C372" s="329"/>
      <c r="D372" s="329"/>
    </row>
    <row r="373" spans="1:4" ht="24.9" customHeight="1" x14ac:dyDescent="0.3">
      <c r="A373" s="30"/>
      <c r="B373" s="31"/>
      <c r="C373" s="329"/>
      <c r="D373" s="329"/>
    </row>
    <row r="374" spans="1:4" ht="24.9" customHeight="1" x14ac:dyDescent="0.3">
      <c r="A374" s="30"/>
      <c r="B374" s="31"/>
      <c r="C374" s="329"/>
      <c r="D374" s="329"/>
    </row>
    <row r="375" spans="1:4" ht="24.9" customHeight="1" x14ac:dyDescent="0.3">
      <c r="A375" s="30"/>
      <c r="B375" s="31"/>
      <c r="C375" s="329"/>
      <c r="D375" s="329"/>
    </row>
    <row r="376" spans="1:4" ht="24.9" customHeight="1" x14ac:dyDescent="0.3">
      <c r="A376" s="30"/>
      <c r="B376" s="31"/>
      <c r="C376" s="329"/>
      <c r="D376" s="329"/>
    </row>
    <row r="377" spans="1:4" ht="24.9" customHeight="1" x14ac:dyDescent="0.3">
      <c r="A377" s="30"/>
      <c r="B377" s="31"/>
      <c r="C377" s="329"/>
      <c r="D377" s="329"/>
    </row>
    <row r="378" spans="1:4" ht="24.9" customHeight="1" x14ac:dyDescent="0.3">
      <c r="A378" s="30"/>
      <c r="B378" s="31"/>
      <c r="C378" s="329"/>
      <c r="D378" s="329"/>
    </row>
    <row r="379" spans="1:4" ht="24.9" customHeight="1" x14ac:dyDescent="0.3">
      <c r="A379" s="30"/>
      <c r="B379" s="31"/>
      <c r="C379" s="329"/>
      <c r="D379" s="329"/>
    </row>
    <row r="380" spans="1:4" ht="24.9" customHeight="1" x14ac:dyDescent="0.3">
      <c r="A380" s="30"/>
      <c r="B380" s="31"/>
      <c r="C380" s="329"/>
      <c r="D380" s="329"/>
    </row>
    <row r="381" spans="1:4" ht="24.9" customHeight="1" x14ac:dyDescent="0.3">
      <c r="A381" s="30"/>
      <c r="B381" s="31"/>
      <c r="C381" s="329"/>
      <c r="D381" s="329"/>
    </row>
    <row r="382" spans="1:4" ht="24.9" customHeight="1" x14ac:dyDescent="0.3">
      <c r="A382" s="30"/>
      <c r="B382" s="31"/>
      <c r="C382" s="329"/>
      <c r="D382" s="329"/>
    </row>
    <row r="383" spans="1:4" ht="24.9" customHeight="1" x14ac:dyDescent="0.3">
      <c r="A383" s="30"/>
      <c r="B383" s="31"/>
      <c r="C383" s="329"/>
      <c r="D383" s="329"/>
    </row>
    <row r="384" spans="1:4" ht="24.9" customHeight="1" x14ac:dyDescent="0.3">
      <c r="A384" s="30"/>
      <c r="B384" s="31"/>
      <c r="C384" s="329"/>
      <c r="D384" s="329"/>
    </row>
    <row r="385" spans="1:4" ht="24.9" customHeight="1" x14ac:dyDescent="0.3">
      <c r="A385" s="30"/>
      <c r="B385" s="31"/>
      <c r="C385" s="329"/>
      <c r="D385" s="329"/>
    </row>
    <row r="386" spans="1:4" ht="24.9" customHeight="1" x14ac:dyDescent="0.3">
      <c r="A386" s="30"/>
      <c r="B386" s="31"/>
      <c r="C386" s="329"/>
      <c r="D386" s="329"/>
    </row>
    <row r="387" spans="1:4" ht="24.9" customHeight="1" x14ac:dyDescent="0.3">
      <c r="A387" s="30"/>
      <c r="B387" s="31"/>
      <c r="C387" s="329"/>
      <c r="D387" s="329"/>
    </row>
    <row r="388" spans="1:4" ht="24.9" customHeight="1" x14ac:dyDescent="0.3">
      <c r="A388" s="30"/>
      <c r="B388" s="31"/>
      <c r="C388" s="329"/>
      <c r="D388" s="329"/>
    </row>
    <row r="389" spans="1:4" ht="24.9" customHeight="1" x14ac:dyDescent="0.3">
      <c r="A389" s="30"/>
      <c r="B389" s="31"/>
      <c r="C389" s="329"/>
      <c r="D389" s="329"/>
    </row>
    <row r="390" spans="1:4" ht="24.9" customHeight="1" x14ac:dyDescent="0.3">
      <c r="A390" s="30"/>
      <c r="B390" s="31"/>
      <c r="C390" s="329"/>
      <c r="D390" s="329"/>
    </row>
    <row r="391" spans="1:4" ht="24.9" customHeight="1" x14ac:dyDescent="0.3">
      <c r="A391" s="30"/>
      <c r="B391" s="31"/>
      <c r="C391" s="329"/>
      <c r="D391" s="329"/>
    </row>
    <row r="392" spans="1:4" ht="24.9" customHeight="1" x14ac:dyDescent="0.3">
      <c r="A392" s="30"/>
      <c r="B392" s="31"/>
      <c r="C392" s="329"/>
      <c r="D392" s="329"/>
    </row>
    <row r="393" spans="1:4" ht="24.9" customHeight="1" x14ac:dyDescent="0.3">
      <c r="A393" s="30"/>
      <c r="B393" s="31"/>
      <c r="C393" s="329"/>
      <c r="D393" s="329"/>
    </row>
    <row r="394" spans="1:4" ht="24.9" customHeight="1" x14ac:dyDescent="0.3">
      <c r="A394" s="30"/>
      <c r="B394" s="31"/>
      <c r="C394" s="329"/>
      <c r="D394" s="329"/>
    </row>
    <row r="395" spans="1:4" ht="24.9" customHeight="1" x14ac:dyDescent="0.3">
      <c r="A395" s="30"/>
      <c r="B395" s="31"/>
      <c r="C395" s="329"/>
      <c r="D395" s="329"/>
    </row>
    <row r="396" spans="1:4" ht="24.9" customHeight="1" x14ac:dyDescent="0.3">
      <c r="A396" s="64"/>
      <c r="B396" s="165"/>
      <c r="C396" s="32"/>
      <c r="D396" s="32"/>
    </row>
    <row r="397" spans="1:4" ht="24.9" customHeight="1" x14ac:dyDescent="0.3">
      <c r="B397" s="29"/>
    </row>
    <row r="398" spans="1:4" ht="24.9" customHeight="1" x14ac:dyDescent="0.3">
      <c r="B398" s="29"/>
    </row>
    <row r="399" spans="1:4" ht="24.9" customHeight="1" x14ac:dyDescent="0.3">
      <c r="B399" s="29"/>
    </row>
    <row r="400" spans="1:4" ht="24.9" customHeight="1" x14ac:dyDescent="0.3">
      <c r="B400" s="29"/>
    </row>
    <row r="401" spans="2:2" x14ac:dyDescent="0.3">
      <c r="B401" s="29"/>
    </row>
    <row r="402" spans="2:2" x14ac:dyDescent="0.3">
      <c r="B402" s="29"/>
    </row>
    <row r="403" spans="2:2" x14ac:dyDescent="0.3">
      <c r="B403" s="29"/>
    </row>
    <row r="404" spans="2:2" x14ac:dyDescent="0.3">
      <c r="B404" s="29"/>
    </row>
    <row r="405" spans="2:2" x14ac:dyDescent="0.3">
      <c r="B405" s="29"/>
    </row>
    <row r="406" spans="2:2" x14ac:dyDescent="0.3">
      <c r="B406" s="29"/>
    </row>
    <row r="407" spans="2:2" x14ac:dyDescent="0.3">
      <c r="B407" s="29"/>
    </row>
    <row r="408" spans="2:2" x14ac:dyDescent="0.3">
      <c r="B408" s="29"/>
    </row>
    <row r="409" spans="2:2" x14ac:dyDescent="0.3">
      <c r="B409" s="29"/>
    </row>
    <row r="410" spans="2:2" x14ac:dyDescent="0.3">
      <c r="B410" s="29"/>
    </row>
    <row r="411" spans="2:2" x14ac:dyDescent="0.3">
      <c r="B411" s="29"/>
    </row>
    <row r="412" spans="2:2" x14ac:dyDescent="0.3">
      <c r="B412" s="29"/>
    </row>
    <row r="413" spans="2:2" x14ac:dyDescent="0.3">
      <c r="B413" s="29"/>
    </row>
    <row r="414" spans="2:2" x14ac:dyDescent="0.3">
      <c r="B414" s="29"/>
    </row>
    <row r="415" spans="2:2" x14ac:dyDescent="0.3">
      <c r="B415" s="29"/>
    </row>
    <row r="416" spans="2:2" x14ac:dyDescent="0.3">
      <c r="B416" s="29"/>
    </row>
    <row r="417" spans="2:2" x14ac:dyDescent="0.3">
      <c r="B417" s="29"/>
    </row>
    <row r="418" spans="2:2" x14ac:dyDescent="0.3">
      <c r="B418" s="29"/>
    </row>
    <row r="419" spans="2:2" x14ac:dyDescent="0.3">
      <c r="B419" s="29"/>
    </row>
    <row r="420" spans="2:2" x14ac:dyDescent="0.3">
      <c r="B420" s="29"/>
    </row>
    <row r="421" spans="2:2" x14ac:dyDescent="0.3">
      <c r="B421" s="29"/>
    </row>
    <row r="422" spans="2:2" x14ac:dyDescent="0.3">
      <c r="B422" s="29"/>
    </row>
    <row r="423" spans="2:2" x14ac:dyDescent="0.3">
      <c r="B423" s="29"/>
    </row>
    <row r="424" spans="2:2" x14ac:dyDescent="0.3">
      <c r="B424" s="29"/>
    </row>
    <row r="425" spans="2:2" x14ac:dyDescent="0.3">
      <c r="B425" s="29"/>
    </row>
    <row r="426" spans="2:2" x14ac:dyDescent="0.3">
      <c r="B426" s="29"/>
    </row>
    <row r="427" spans="2:2" x14ac:dyDescent="0.3">
      <c r="B427" s="29"/>
    </row>
    <row r="428" spans="2:2" x14ac:dyDescent="0.3">
      <c r="B428" s="29"/>
    </row>
    <row r="429" spans="2:2" x14ac:dyDescent="0.3">
      <c r="B429" s="29"/>
    </row>
    <row r="430" spans="2:2" x14ac:dyDescent="0.3">
      <c r="B430" s="29"/>
    </row>
    <row r="431" spans="2:2" x14ac:dyDescent="0.3">
      <c r="B431" s="29"/>
    </row>
    <row r="432" spans="2:2" x14ac:dyDescent="0.3">
      <c r="B432" s="29"/>
    </row>
    <row r="433" spans="2:2" x14ac:dyDescent="0.3">
      <c r="B433" s="29"/>
    </row>
    <row r="434" spans="2:2" x14ac:dyDescent="0.3">
      <c r="B434" s="29"/>
    </row>
    <row r="435" spans="2:2" x14ac:dyDescent="0.3">
      <c r="B435" s="29"/>
    </row>
    <row r="436" spans="2:2" x14ac:dyDescent="0.3">
      <c r="B436" s="29"/>
    </row>
    <row r="437" spans="2:2" x14ac:dyDescent="0.3">
      <c r="B437" s="29"/>
    </row>
    <row r="438" spans="2:2" x14ac:dyDescent="0.3">
      <c r="B438" s="29"/>
    </row>
    <row r="439" spans="2:2" x14ac:dyDescent="0.3">
      <c r="B439" s="29"/>
    </row>
    <row r="440" spans="2:2" x14ac:dyDescent="0.3">
      <c r="B440" s="29"/>
    </row>
    <row r="441" spans="2:2" x14ac:dyDescent="0.3">
      <c r="B441" s="29"/>
    </row>
    <row r="442" spans="2:2" x14ac:dyDescent="0.3">
      <c r="B442" s="29"/>
    </row>
    <row r="443" spans="2:2" x14ac:dyDescent="0.3">
      <c r="B443" s="29"/>
    </row>
    <row r="444" spans="2:2" x14ac:dyDescent="0.3">
      <c r="B444" s="29"/>
    </row>
    <row r="445" spans="2:2" x14ac:dyDescent="0.3">
      <c r="B445" s="29"/>
    </row>
    <row r="446" spans="2:2" x14ac:dyDescent="0.3">
      <c r="B446" s="29"/>
    </row>
    <row r="447" spans="2:2" x14ac:dyDescent="0.3">
      <c r="B447" s="29"/>
    </row>
    <row r="448" spans="2:2" x14ac:dyDescent="0.3">
      <c r="B448" s="29"/>
    </row>
    <row r="449" spans="2:2" x14ac:dyDescent="0.3">
      <c r="B449" s="29"/>
    </row>
    <row r="450" spans="2:2" x14ac:dyDescent="0.3">
      <c r="B450" s="29"/>
    </row>
    <row r="451" spans="2:2" x14ac:dyDescent="0.3">
      <c r="B451" s="29"/>
    </row>
    <row r="452" spans="2:2" x14ac:dyDescent="0.3">
      <c r="B452" s="29"/>
    </row>
    <row r="453" spans="2:2" x14ac:dyDescent="0.3">
      <c r="B453" s="29"/>
    </row>
    <row r="454" spans="2:2" x14ac:dyDescent="0.3">
      <c r="B454" s="29"/>
    </row>
    <row r="455" spans="2:2" x14ac:dyDescent="0.3">
      <c r="B455" s="29"/>
    </row>
    <row r="456" spans="2:2" x14ac:dyDescent="0.3">
      <c r="B456" s="29"/>
    </row>
    <row r="457" spans="2:2" x14ac:dyDescent="0.3">
      <c r="B457" s="29"/>
    </row>
    <row r="458" spans="2:2" x14ac:dyDescent="0.3">
      <c r="B458" s="29"/>
    </row>
    <row r="459" spans="2:2" x14ac:dyDescent="0.3">
      <c r="B459" s="29"/>
    </row>
    <row r="460" spans="2:2" x14ac:dyDescent="0.3">
      <c r="B460" s="29"/>
    </row>
    <row r="461" spans="2:2" x14ac:dyDescent="0.3">
      <c r="B461" s="29"/>
    </row>
    <row r="462" spans="2:2" x14ac:dyDescent="0.3">
      <c r="B462" s="29"/>
    </row>
    <row r="463" spans="2:2" x14ac:dyDescent="0.3">
      <c r="B463" s="29"/>
    </row>
    <row r="464" spans="2:2" x14ac:dyDescent="0.3">
      <c r="B464" s="29"/>
    </row>
    <row r="477" spans="2:2" x14ac:dyDescent="0.3">
      <c r="B477" s="29"/>
    </row>
    <row r="478" spans="2:2" x14ac:dyDescent="0.3">
      <c r="B478" s="29"/>
    </row>
    <row r="479" spans="2:2" x14ac:dyDescent="0.3">
      <c r="B479" s="29"/>
    </row>
    <row r="480" spans="2:2" x14ac:dyDescent="0.3">
      <c r="B480" s="29"/>
    </row>
    <row r="481" spans="2:2" x14ac:dyDescent="0.3">
      <c r="B481" s="29"/>
    </row>
    <row r="482" spans="2:2" x14ac:dyDescent="0.3">
      <c r="B482" s="29"/>
    </row>
    <row r="483" spans="2:2" x14ac:dyDescent="0.3">
      <c r="B483" s="29"/>
    </row>
    <row r="484" spans="2:2" x14ac:dyDescent="0.3">
      <c r="B484" s="29"/>
    </row>
    <row r="485" spans="2:2" x14ac:dyDescent="0.3">
      <c r="B485" s="29"/>
    </row>
    <row r="486" spans="2:2" x14ac:dyDescent="0.3">
      <c r="B486" s="29"/>
    </row>
    <row r="487" spans="2:2" x14ac:dyDescent="0.3">
      <c r="B487" s="29"/>
    </row>
    <row r="488" spans="2:2" x14ac:dyDescent="0.3">
      <c r="B488" s="29"/>
    </row>
    <row r="489" spans="2:2" x14ac:dyDescent="0.3">
      <c r="B489" s="29"/>
    </row>
    <row r="490" spans="2:2" x14ac:dyDescent="0.3">
      <c r="B490" s="29"/>
    </row>
    <row r="491" spans="2:2" x14ac:dyDescent="0.3">
      <c r="B491" s="29"/>
    </row>
    <row r="492" spans="2:2" x14ac:dyDescent="0.3">
      <c r="B492" s="29"/>
    </row>
    <row r="493" spans="2:2" x14ac:dyDescent="0.3">
      <c r="B493" s="29"/>
    </row>
    <row r="494" spans="2:2" x14ac:dyDescent="0.3">
      <c r="B494" s="29"/>
    </row>
    <row r="495" spans="2:2" x14ac:dyDescent="0.3">
      <c r="B495" s="29"/>
    </row>
    <row r="496" spans="2:2" x14ac:dyDescent="0.3">
      <c r="B496" s="29"/>
    </row>
    <row r="497" spans="2:2" x14ac:dyDescent="0.3">
      <c r="B497" s="29"/>
    </row>
    <row r="498" spans="2:2" x14ac:dyDescent="0.3">
      <c r="B498" s="29"/>
    </row>
    <row r="499" spans="2:2" x14ac:dyDescent="0.3">
      <c r="B499" s="29"/>
    </row>
    <row r="500" spans="2:2" x14ac:dyDescent="0.3">
      <c r="B500" s="29"/>
    </row>
    <row r="501" spans="2:2" x14ac:dyDescent="0.3">
      <c r="B501" s="29"/>
    </row>
    <row r="502" spans="2:2" x14ac:dyDescent="0.3">
      <c r="B502" s="29"/>
    </row>
    <row r="503" spans="2:2" x14ac:dyDescent="0.3">
      <c r="B503" s="29"/>
    </row>
    <row r="504" spans="2:2" x14ac:dyDescent="0.3">
      <c r="B504" s="29"/>
    </row>
    <row r="505" spans="2:2" x14ac:dyDescent="0.3">
      <c r="B505" s="29"/>
    </row>
    <row r="506" spans="2:2" x14ac:dyDescent="0.3">
      <c r="B506" s="29"/>
    </row>
    <row r="507" spans="2:2" x14ac:dyDescent="0.3">
      <c r="B507" s="29"/>
    </row>
    <row r="508" spans="2:2" x14ac:dyDescent="0.3">
      <c r="B508" s="29"/>
    </row>
    <row r="509" spans="2:2" x14ac:dyDescent="0.3">
      <c r="B509" s="29"/>
    </row>
    <row r="510" spans="2:2" x14ac:dyDescent="0.3">
      <c r="B510" s="29"/>
    </row>
    <row r="511" spans="2:2" x14ac:dyDescent="0.3">
      <c r="B511" s="29"/>
    </row>
    <row r="512" spans="2:2" x14ac:dyDescent="0.3">
      <c r="B512" s="29"/>
    </row>
    <row r="513" spans="2:2" x14ac:dyDescent="0.3">
      <c r="B513" s="29"/>
    </row>
    <row r="514" spans="2:2" x14ac:dyDescent="0.3">
      <c r="B514" s="29"/>
    </row>
    <row r="515" spans="2:2" x14ac:dyDescent="0.3">
      <c r="B515" s="29"/>
    </row>
    <row r="516" spans="2:2" x14ac:dyDescent="0.3">
      <c r="B516" s="29"/>
    </row>
    <row r="517" spans="2:2" x14ac:dyDescent="0.3">
      <c r="B517" s="29"/>
    </row>
    <row r="518" spans="2:2" x14ac:dyDescent="0.3">
      <c r="B518" s="29"/>
    </row>
    <row r="519" spans="2:2" x14ac:dyDescent="0.3">
      <c r="B519" s="29"/>
    </row>
    <row r="520" spans="2:2" x14ac:dyDescent="0.3">
      <c r="B520" s="29"/>
    </row>
    <row r="521" spans="2:2" x14ac:dyDescent="0.3">
      <c r="B521" s="29"/>
    </row>
    <row r="522" spans="2:2" x14ac:dyDescent="0.3">
      <c r="B522" s="29"/>
    </row>
    <row r="523" spans="2:2" x14ac:dyDescent="0.3">
      <c r="B523" s="29"/>
    </row>
    <row r="524" spans="2:2" x14ac:dyDescent="0.3">
      <c r="B524" s="29"/>
    </row>
    <row r="525" spans="2:2" x14ac:dyDescent="0.3">
      <c r="B525" s="29"/>
    </row>
    <row r="526" spans="2:2" x14ac:dyDescent="0.3">
      <c r="B526" s="29"/>
    </row>
    <row r="527" spans="2:2" x14ac:dyDescent="0.3">
      <c r="B527" s="29"/>
    </row>
    <row r="528" spans="2:2" x14ac:dyDescent="0.3">
      <c r="B528" s="29"/>
    </row>
    <row r="529" spans="2:2" x14ac:dyDescent="0.3">
      <c r="B529" s="29"/>
    </row>
    <row r="530" spans="2:2" x14ac:dyDescent="0.3">
      <c r="B530" s="29"/>
    </row>
    <row r="531" spans="2:2" x14ac:dyDescent="0.3">
      <c r="B531" s="29"/>
    </row>
    <row r="532" spans="2:2" x14ac:dyDescent="0.3">
      <c r="B532" s="29"/>
    </row>
    <row r="533" spans="2:2" x14ac:dyDescent="0.3">
      <c r="B533" s="29"/>
    </row>
    <row r="534" spans="2:2" x14ac:dyDescent="0.3">
      <c r="B534" s="29"/>
    </row>
    <row r="535" spans="2:2" x14ac:dyDescent="0.3">
      <c r="B535" s="29"/>
    </row>
    <row r="536" spans="2:2" x14ac:dyDescent="0.3">
      <c r="B536" s="29"/>
    </row>
    <row r="537" spans="2:2" x14ac:dyDescent="0.3">
      <c r="B537" s="29"/>
    </row>
    <row r="538" spans="2:2" x14ac:dyDescent="0.3">
      <c r="B538" s="29"/>
    </row>
    <row r="539" spans="2:2" x14ac:dyDescent="0.3">
      <c r="B539" s="29"/>
    </row>
    <row r="540" spans="2:2" x14ac:dyDescent="0.3">
      <c r="B540" s="29"/>
    </row>
    <row r="541" spans="2:2" x14ac:dyDescent="0.3">
      <c r="B541" s="29"/>
    </row>
    <row r="542" spans="2:2" x14ac:dyDescent="0.3">
      <c r="B542" s="29"/>
    </row>
    <row r="543" spans="2:2" x14ac:dyDescent="0.3">
      <c r="B543" s="29"/>
    </row>
    <row r="544" spans="2:2" x14ac:dyDescent="0.3">
      <c r="B544" s="29"/>
    </row>
    <row r="545" spans="2:2" x14ac:dyDescent="0.3">
      <c r="B545" s="29"/>
    </row>
    <row r="546" spans="2:2" x14ac:dyDescent="0.3">
      <c r="B546" s="29"/>
    </row>
    <row r="547" spans="2:2" x14ac:dyDescent="0.3">
      <c r="B547" s="29"/>
    </row>
    <row r="548" spans="2:2" x14ac:dyDescent="0.3">
      <c r="B548" s="29"/>
    </row>
    <row r="549" spans="2:2" x14ac:dyDescent="0.3">
      <c r="B549" s="29"/>
    </row>
    <row r="550" spans="2:2" x14ac:dyDescent="0.3">
      <c r="B550" s="29"/>
    </row>
    <row r="551" spans="2:2" x14ac:dyDescent="0.3">
      <c r="B551" s="29"/>
    </row>
    <row r="552" spans="2:2" x14ac:dyDescent="0.3">
      <c r="B552" s="29"/>
    </row>
    <row r="553" spans="2:2" x14ac:dyDescent="0.3">
      <c r="B553" s="29"/>
    </row>
    <row r="554" spans="2:2" x14ac:dyDescent="0.3">
      <c r="B554" s="29"/>
    </row>
    <row r="555" spans="2:2" x14ac:dyDescent="0.3">
      <c r="B555" s="29"/>
    </row>
    <row r="556" spans="2:2" x14ac:dyDescent="0.3">
      <c r="B556" s="29"/>
    </row>
    <row r="557" spans="2:2" x14ac:dyDescent="0.3">
      <c r="B557" s="29"/>
    </row>
    <row r="558" spans="2:2" x14ac:dyDescent="0.3">
      <c r="B558" s="29"/>
    </row>
    <row r="559" spans="2:2" x14ac:dyDescent="0.3">
      <c r="B559" s="29"/>
    </row>
    <row r="560" spans="2:2" x14ac:dyDescent="0.3">
      <c r="B560" s="29"/>
    </row>
    <row r="561" spans="2:2" x14ac:dyDescent="0.3">
      <c r="B561" s="29"/>
    </row>
    <row r="562" spans="2:2" x14ac:dyDescent="0.3">
      <c r="B562" s="29"/>
    </row>
    <row r="563" spans="2:2" x14ac:dyDescent="0.3">
      <c r="B563" s="29"/>
    </row>
    <row r="564" spans="2:2" x14ac:dyDescent="0.3">
      <c r="B564" s="29"/>
    </row>
    <row r="565" spans="2:2" x14ac:dyDescent="0.3">
      <c r="B565" s="29"/>
    </row>
    <row r="566" spans="2:2" x14ac:dyDescent="0.3">
      <c r="B566" s="29"/>
    </row>
    <row r="567" spans="2:2" x14ac:dyDescent="0.3">
      <c r="B567" s="29"/>
    </row>
    <row r="568" spans="2:2" x14ac:dyDescent="0.3">
      <c r="B568" s="29"/>
    </row>
    <row r="569" spans="2:2" x14ac:dyDescent="0.3">
      <c r="B569" s="29"/>
    </row>
    <row r="570" spans="2:2" x14ac:dyDescent="0.3">
      <c r="B570" s="29"/>
    </row>
    <row r="571" spans="2:2" x14ac:dyDescent="0.3">
      <c r="B571" s="29"/>
    </row>
    <row r="572" spans="2:2" x14ac:dyDescent="0.3">
      <c r="B572" s="29"/>
    </row>
    <row r="573" spans="2:2" x14ac:dyDescent="0.3">
      <c r="B573" s="29"/>
    </row>
    <row r="574" spans="2:2" x14ac:dyDescent="0.3">
      <c r="B574" s="29"/>
    </row>
    <row r="575" spans="2:2" x14ac:dyDescent="0.3">
      <c r="B575" s="29"/>
    </row>
    <row r="576" spans="2:2" x14ac:dyDescent="0.3">
      <c r="B576" s="29"/>
    </row>
    <row r="577" spans="2:2" x14ac:dyDescent="0.3">
      <c r="B577" s="29"/>
    </row>
    <row r="578" spans="2:2" x14ac:dyDescent="0.3">
      <c r="B578" s="29"/>
    </row>
    <row r="579" spans="2:2" x14ac:dyDescent="0.3">
      <c r="B579" s="29"/>
    </row>
    <row r="580" spans="2:2" x14ac:dyDescent="0.3">
      <c r="B580" s="29"/>
    </row>
    <row r="581" spans="2:2" x14ac:dyDescent="0.3">
      <c r="B581" s="29"/>
    </row>
    <row r="582" spans="2:2" x14ac:dyDescent="0.3">
      <c r="B582" s="29"/>
    </row>
    <row r="583" spans="2:2" x14ac:dyDescent="0.3">
      <c r="B583" s="29"/>
    </row>
    <row r="584" spans="2:2" x14ac:dyDescent="0.3">
      <c r="B584" s="29"/>
    </row>
    <row r="585" spans="2:2" x14ac:dyDescent="0.3">
      <c r="B585" s="29"/>
    </row>
    <row r="586" spans="2:2" x14ac:dyDescent="0.3">
      <c r="B586" s="29"/>
    </row>
    <row r="587" spans="2:2" x14ac:dyDescent="0.3">
      <c r="B587" s="29"/>
    </row>
    <row r="588" spans="2:2" x14ac:dyDescent="0.3">
      <c r="B588" s="29"/>
    </row>
    <row r="589" spans="2:2" x14ac:dyDescent="0.3">
      <c r="B589" s="29"/>
    </row>
    <row r="590" spans="2:2" x14ac:dyDescent="0.3">
      <c r="B590" s="29"/>
    </row>
    <row r="591" spans="2:2" x14ac:dyDescent="0.3">
      <c r="B591" s="29"/>
    </row>
    <row r="592" spans="2:2" x14ac:dyDescent="0.3">
      <c r="B592" s="29"/>
    </row>
    <row r="593" spans="2:2" x14ac:dyDescent="0.3">
      <c r="B593" s="29"/>
    </row>
    <row r="594" spans="2:2" x14ac:dyDescent="0.3">
      <c r="B594" s="29"/>
    </row>
    <row r="595" spans="2:2" x14ac:dyDescent="0.3">
      <c r="B595" s="29"/>
    </row>
    <row r="596" spans="2:2" x14ac:dyDescent="0.3">
      <c r="B596" s="29"/>
    </row>
    <row r="597" spans="2:2" x14ac:dyDescent="0.3">
      <c r="B597" s="29"/>
    </row>
    <row r="598" spans="2:2" x14ac:dyDescent="0.3">
      <c r="B598" s="29"/>
    </row>
    <row r="599" spans="2:2" x14ac:dyDescent="0.3">
      <c r="B599" s="29"/>
    </row>
    <row r="600" spans="2:2" x14ac:dyDescent="0.3">
      <c r="B600" s="29"/>
    </row>
    <row r="601" spans="2:2" x14ac:dyDescent="0.3">
      <c r="B601" s="29"/>
    </row>
    <row r="602" spans="2:2" x14ac:dyDescent="0.3">
      <c r="B602" s="29"/>
    </row>
    <row r="603" spans="2:2" x14ac:dyDescent="0.3">
      <c r="B603" s="29"/>
    </row>
    <row r="604" spans="2:2" x14ac:dyDescent="0.3">
      <c r="B604" s="29"/>
    </row>
    <row r="605" spans="2:2" x14ac:dyDescent="0.3">
      <c r="B605" s="29"/>
    </row>
    <row r="606" spans="2:2" x14ac:dyDescent="0.3">
      <c r="B606" s="29"/>
    </row>
    <row r="607" spans="2:2" x14ac:dyDescent="0.3">
      <c r="B607" s="29"/>
    </row>
    <row r="608" spans="2:2" x14ac:dyDescent="0.3">
      <c r="B608" s="29"/>
    </row>
    <row r="609" spans="2:2" x14ac:dyDescent="0.3">
      <c r="B609" s="29"/>
    </row>
    <row r="610" spans="2:2" x14ac:dyDescent="0.3">
      <c r="B610" s="29"/>
    </row>
    <row r="611" spans="2:2" x14ac:dyDescent="0.3">
      <c r="B611" s="29"/>
    </row>
    <row r="612" spans="2:2" x14ac:dyDescent="0.3">
      <c r="B612" s="29"/>
    </row>
    <row r="613" spans="2:2" x14ac:dyDescent="0.3">
      <c r="B613" s="29"/>
    </row>
    <row r="614" spans="2:2" x14ac:dyDescent="0.3">
      <c r="B614" s="29"/>
    </row>
    <row r="615" spans="2:2" x14ac:dyDescent="0.3">
      <c r="B615" s="29"/>
    </row>
    <row r="616" spans="2:2" x14ac:dyDescent="0.3">
      <c r="B616" s="29"/>
    </row>
    <row r="617" spans="2:2" x14ac:dyDescent="0.3">
      <c r="B617" s="29"/>
    </row>
    <row r="618" spans="2:2" x14ac:dyDescent="0.3">
      <c r="B618" s="29"/>
    </row>
    <row r="619" spans="2:2" x14ac:dyDescent="0.3">
      <c r="B619" s="29"/>
    </row>
    <row r="620" spans="2:2" x14ac:dyDescent="0.3">
      <c r="B620" s="29"/>
    </row>
    <row r="621" spans="2:2" x14ac:dyDescent="0.3">
      <c r="B621" s="29"/>
    </row>
    <row r="622" spans="2:2" x14ac:dyDescent="0.3">
      <c r="B622" s="29"/>
    </row>
    <row r="623" spans="2:2" x14ac:dyDescent="0.3">
      <c r="B623" s="29"/>
    </row>
    <row r="624" spans="2:2" x14ac:dyDescent="0.3">
      <c r="B624" s="29"/>
    </row>
    <row r="625" spans="2:2" x14ac:dyDescent="0.3">
      <c r="B625" s="29"/>
    </row>
    <row r="626" spans="2:2" x14ac:dyDescent="0.3">
      <c r="B626" s="29"/>
    </row>
    <row r="627" spans="2:2" x14ac:dyDescent="0.3">
      <c r="B627" s="29"/>
    </row>
    <row r="628" spans="2:2" x14ac:dyDescent="0.3">
      <c r="B628" s="29"/>
    </row>
    <row r="629" spans="2:2" x14ac:dyDescent="0.3">
      <c r="B629" s="29"/>
    </row>
    <row r="630" spans="2:2" x14ac:dyDescent="0.3">
      <c r="B630" s="29"/>
    </row>
    <row r="631" spans="2:2" x14ac:dyDescent="0.3">
      <c r="B631" s="29"/>
    </row>
    <row r="632" spans="2:2" x14ac:dyDescent="0.3">
      <c r="B632" s="29"/>
    </row>
    <row r="633" spans="2:2" x14ac:dyDescent="0.3">
      <c r="B633" s="29"/>
    </row>
    <row r="634" spans="2:2" x14ac:dyDescent="0.3">
      <c r="B634" s="29"/>
    </row>
    <row r="635" spans="2:2" x14ac:dyDescent="0.3">
      <c r="B635" s="29"/>
    </row>
    <row r="636" spans="2:2" x14ac:dyDescent="0.3">
      <c r="B636" s="29"/>
    </row>
    <row r="637" spans="2:2" x14ac:dyDescent="0.3">
      <c r="B637" s="29"/>
    </row>
    <row r="638" spans="2:2" x14ac:dyDescent="0.3">
      <c r="B638" s="29"/>
    </row>
    <row r="639" spans="2:2" x14ac:dyDescent="0.3">
      <c r="B639" s="29"/>
    </row>
    <row r="640" spans="2:2" x14ac:dyDescent="0.3">
      <c r="B640" s="29"/>
    </row>
    <row r="641" spans="2:2" x14ac:dyDescent="0.3">
      <c r="B641" s="29"/>
    </row>
    <row r="642" spans="2:2" x14ac:dyDescent="0.3">
      <c r="B642" s="29"/>
    </row>
    <row r="643" spans="2:2" x14ac:dyDescent="0.3">
      <c r="B643" s="29"/>
    </row>
    <row r="644" spans="2:2" x14ac:dyDescent="0.3">
      <c r="B644" s="29"/>
    </row>
    <row r="645" spans="2:2" x14ac:dyDescent="0.3">
      <c r="B645" s="29"/>
    </row>
    <row r="646" spans="2:2" x14ac:dyDescent="0.3">
      <c r="B646" s="29"/>
    </row>
    <row r="647" spans="2:2" x14ac:dyDescent="0.3">
      <c r="B647" s="29"/>
    </row>
    <row r="648" spans="2:2" x14ac:dyDescent="0.3">
      <c r="B648" s="29"/>
    </row>
    <row r="649" spans="2:2" x14ac:dyDescent="0.3">
      <c r="B649" s="29"/>
    </row>
    <row r="650" spans="2:2" x14ac:dyDescent="0.3">
      <c r="B650" s="29"/>
    </row>
    <row r="651" spans="2:2" x14ac:dyDescent="0.3">
      <c r="B651" s="29"/>
    </row>
    <row r="652" spans="2:2" x14ac:dyDescent="0.3">
      <c r="B652" s="29"/>
    </row>
    <row r="653" spans="2:2" x14ac:dyDescent="0.3">
      <c r="B653" s="29"/>
    </row>
    <row r="654" spans="2:2" x14ac:dyDescent="0.3">
      <c r="B654" s="29"/>
    </row>
    <row r="655" spans="2:2" x14ac:dyDescent="0.3">
      <c r="B655" s="29"/>
    </row>
    <row r="656" spans="2:2" x14ac:dyDescent="0.3">
      <c r="B656" s="29"/>
    </row>
    <row r="657" spans="2:2" x14ac:dyDescent="0.3">
      <c r="B657" s="29"/>
    </row>
    <row r="658" spans="2:2" x14ac:dyDescent="0.3">
      <c r="B658" s="29"/>
    </row>
    <row r="659" spans="2:2" x14ac:dyDescent="0.3">
      <c r="B659" s="29"/>
    </row>
    <row r="660" spans="2:2" x14ac:dyDescent="0.3">
      <c r="B660" s="29"/>
    </row>
    <row r="661" spans="2:2" x14ac:dyDescent="0.3">
      <c r="B661" s="29"/>
    </row>
    <row r="662" spans="2:2" x14ac:dyDescent="0.3">
      <c r="B662" s="29"/>
    </row>
    <row r="663" spans="2:2" x14ac:dyDescent="0.3">
      <c r="B663" s="29"/>
    </row>
    <row r="664" spans="2:2" x14ac:dyDescent="0.3">
      <c r="B664" s="29"/>
    </row>
    <row r="665" spans="2:2" x14ac:dyDescent="0.3">
      <c r="B665" s="29"/>
    </row>
    <row r="666" spans="2:2" x14ac:dyDescent="0.3">
      <c r="B666" s="29"/>
    </row>
    <row r="667" spans="2:2" x14ac:dyDescent="0.3">
      <c r="B667" s="29"/>
    </row>
    <row r="668" spans="2:2" x14ac:dyDescent="0.3">
      <c r="B668" s="29"/>
    </row>
    <row r="669" spans="2:2" x14ac:dyDescent="0.3">
      <c r="B669" s="29"/>
    </row>
    <row r="670" spans="2:2" x14ac:dyDescent="0.3">
      <c r="B670" s="29"/>
    </row>
    <row r="671" spans="2:2" x14ac:dyDescent="0.3">
      <c r="B671" s="29"/>
    </row>
    <row r="672" spans="2:2" x14ac:dyDescent="0.3">
      <c r="B672" s="29"/>
    </row>
    <row r="673" spans="2:2" x14ac:dyDescent="0.3">
      <c r="B673" s="29"/>
    </row>
    <row r="674" spans="2:2" x14ac:dyDescent="0.3">
      <c r="B674" s="29"/>
    </row>
    <row r="675" spans="2:2" x14ac:dyDescent="0.3">
      <c r="B675" s="29"/>
    </row>
    <row r="676" spans="2:2" x14ac:dyDescent="0.3">
      <c r="B676" s="29"/>
    </row>
    <row r="677" spans="2:2" x14ac:dyDescent="0.3">
      <c r="B677" s="29"/>
    </row>
    <row r="678" spans="2:2" x14ac:dyDescent="0.3">
      <c r="B678" s="29"/>
    </row>
    <row r="679" spans="2:2" x14ac:dyDescent="0.3">
      <c r="B679" s="29"/>
    </row>
    <row r="680" spans="2:2" x14ac:dyDescent="0.3">
      <c r="B680" s="29"/>
    </row>
    <row r="681" spans="2:2" x14ac:dyDescent="0.3">
      <c r="B681" s="29"/>
    </row>
    <row r="682" spans="2:2" x14ac:dyDescent="0.3">
      <c r="B682" s="29"/>
    </row>
    <row r="683" spans="2:2" x14ac:dyDescent="0.3">
      <c r="B683" s="29"/>
    </row>
    <row r="684" spans="2:2" x14ac:dyDescent="0.3">
      <c r="B684" s="29"/>
    </row>
    <row r="685" spans="2:2" x14ac:dyDescent="0.3">
      <c r="B685" s="29"/>
    </row>
    <row r="686" spans="2:2" x14ac:dyDescent="0.3">
      <c r="B686" s="29"/>
    </row>
    <row r="687" spans="2:2" x14ac:dyDescent="0.3">
      <c r="B687" s="29"/>
    </row>
    <row r="688" spans="2:2" x14ac:dyDescent="0.3">
      <c r="B688" s="29"/>
    </row>
    <row r="689" spans="2:2" x14ac:dyDescent="0.3">
      <c r="B689" s="29"/>
    </row>
    <row r="690" spans="2:2" x14ac:dyDescent="0.3">
      <c r="B690" s="29"/>
    </row>
    <row r="691" spans="2:2" x14ac:dyDescent="0.3">
      <c r="B691" s="29"/>
    </row>
    <row r="692" spans="2:2" x14ac:dyDescent="0.3">
      <c r="B692" s="29"/>
    </row>
    <row r="693" spans="2:2" x14ac:dyDescent="0.3">
      <c r="B693" s="29"/>
    </row>
    <row r="694" spans="2:2" x14ac:dyDescent="0.3">
      <c r="B694" s="29"/>
    </row>
    <row r="695" spans="2:2" x14ac:dyDescent="0.3">
      <c r="B695" s="29"/>
    </row>
    <row r="696" spans="2:2" x14ac:dyDescent="0.3">
      <c r="B696" s="29"/>
    </row>
    <row r="697" spans="2:2" x14ac:dyDescent="0.3">
      <c r="B697" s="29"/>
    </row>
    <row r="698" spans="2:2" x14ac:dyDescent="0.3">
      <c r="B698" s="29"/>
    </row>
    <row r="699" spans="2:2" x14ac:dyDescent="0.3">
      <c r="B699" s="29"/>
    </row>
    <row r="700" spans="2:2" x14ac:dyDescent="0.3">
      <c r="B700" s="29"/>
    </row>
    <row r="701" spans="2:2" x14ac:dyDescent="0.3">
      <c r="B701" s="29"/>
    </row>
    <row r="702" spans="2:2" x14ac:dyDescent="0.3">
      <c r="B702" s="29"/>
    </row>
    <row r="703" spans="2:2" x14ac:dyDescent="0.3">
      <c r="B703" s="29"/>
    </row>
    <row r="704" spans="2:2" x14ac:dyDescent="0.3">
      <c r="B704" s="29"/>
    </row>
    <row r="705" spans="2:2" x14ac:dyDescent="0.3">
      <c r="B705" s="29"/>
    </row>
    <row r="706" spans="2:2" x14ac:dyDescent="0.3">
      <c r="B706" s="29"/>
    </row>
    <row r="707" spans="2:2" x14ac:dyDescent="0.3">
      <c r="B707" s="29"/>
    </row>
    <row r="708" spans="2:2" x14ac:dyDescent="0.3">
      <c r="B708" s="29"/>
    </row>
    <row r="709" spans="2:2" x14ac:dyDescent="0.3">
      <c r="B709" s="29"/>
    </row>
    <row r="710" spans="2:2" x14ac:dyDescent="0.3">
      <c r="B710" s="29"/>
    </row>
    <row r="711" spans="2:2" x14ac:dyDescent="0.3">
      <c r="B711" s="29"/>
    </row>
    <row r="712" spans="2:2" x14ac:dyDescent="0.3">
      <c r="B712" s="29"/>
    </row>
    <row r="713" spans="2:2" x14ac:dyDescent="0.3">
      <c r="B713" s="29"/>
    </row>
    <row r="714" spans="2:2" x14ac:dyDescent="0.3">
      <c r="B714" s="29"/>
    </row>
    <row r="715" spans="2:2" x14ac:dyDescent="0.3">
      <c r="B715" s="29"/>
    </row>
    <row r="716" spans="2:2" x14ac:dyDescent="0.3">
      <c r="B716" s="29"/>
    </row>
    <row r="717" spans="2:2" x14ac:dyDescent="0.3">
      <c r="B717" s="29"/>
    </row>
    <row r="718" spans="2:2" x14ac:dyDescent="0.3">
      <c r="B718" s="29"/>
    </row>
    <row r="719" spans="2:2" x14ac:dyDescent="0.3">
      <c r="B719" s="29"/>
    </row>
    <row r="720" spans="2:2" x14ac:dyDescent="0.3">
      <c r="B720" s="29"/>
    </row>
    <row r="721" spans="2:2" x14ac:dyDescent="0.3">
      <c r="B721" s="29"/>
    </row>
    <row r="722" spans="2:2" x14ac:dyDescent="0.3">
      <c r="B722" s="29"/>
    </row>
    <row r="723" spans="2:2" x14ac:dyDescent="0.3">
      <c r="B723" s="29"/>
    </row>
    <row r="724" spans="2:2" x14ac:dyDescent="0.3">
      <c r="B724" s="29"/>
    </row>
    <row r="725" spans="2:2" x14ac:dyDescent="0.3">
      <c r="B725" s="29"/>
    </row>
    <row r="726" spans="2:2" x14ac:dyDescent="0.3">
      <c r="B726" s="29"/>
    </row>
    <row r="727" spans="2:2" x14ac:dyDescent="0.3">
      <c r="B727" s="29"/>
    </row>
    <row r="728" spans="2:2" x14ac:dyDescent="0.3">
      <c r="B728" s="29"/>
    </row>
    <row r="729" spans="2:2" x14ac:dyDescent="0.3">
      <c r="B729" s="29"/>
    </row>
    <row r="730" spans="2:2" x14ac:dyDescent="0.3">
      <c r="B730" s="29"/>
    </row>
    <row r="731" spans="2:2" x14ac:dyDescent="0.3">
      <c r="B731" s="29"/>
    </row>
    <row r="732" spans="2:2" x14ac:dyDescent="0.3">
      <c r="B732" s="29"/>
    </row>
    <row r="733" spans="2:2" x14ac:dyDescent="0.3">
      <c r="B733" s="29"/>
    </row>
    <row r="734" spans="2:2" x14ac:dyDescent="0.3">
      <c r="B734" s="29"/>
    </row>
    <row r="735" spans="2:2" x14ac:dyDescent="0.3">
      <c r="B735" s="29"/>
    </row>
    <row r="736" spans="2:2" x14ac:dyDescent="0.3">
      <c r="B736" s="29"/>
    </row>
    <row r="737" spans="2:2" x14ac:dyDescent="0.3">
      <c r="B737" s="29"/>
    </row>
    <row r="738" spans="2:2" x14ac:dyDescent="0.3">
      <c r="B738" s="29"/>
    </row>
    <row r="739" spans="2:2" x14ac:dyDescent="0.3">
      <c r="B739" s="29"/>
    </row>
    <row r="740" spans="2:2" x14ac:dyDescent="0.3">
      <c r="B740" s="29"/>
    </row>
    <row r="741" spans="2:2" x14ac:dyDescent="0.3">
      <c r="B741" s="29"/>
    </row>
    <row r="742" spans="2:2" x14ac:dyDescent="0.3">
      <c r="B742" s="29"/>
    </row>
    <row r="743" spans="2:2" x14ac:dyDescent="0.3">
      <c r="B743" s="29"/>
    </row>
    <row r="744" spans="2:2" x14ac:dyDescent="0.3">
      <c r="B744" s="29"/>
    </row>
    <row r="745" spans="2:2" x14ac:dyDescent="0.3">
      <c r="B745" s="29"/>
    </row>
    <row r="746" spans="2:2" x14ac:dyDescent="0.3">
      <c r="B746" s="29"/>
    </row>
    <row r="747" spans="2:2" x14ac:dyDescent="0.3">
      <c r="B747" s="29"/>
    </row>
    <row r="748" spans="2:2" x14ac:dyDescent="0.3">
      <c r="B748" s="29"/>
    </row>
    <row r="749" spans="2:2" x14ac:dyDescent="0.3">
      <c r="B749" s="29"/>
    </row>
    <row r="750" spans="2:2" x14ac:dyDescent="0.3">
      <c r="B750" s="29"/>
    </row>
    <row r="751" spans="2:2" x14ac:dyDescent="0.3">
      <c r="B751" s="29"/>
    </row>
    <row r="752" spans="2:2" x14ac:dyDescent="0.3">
      <c r="B752" s="29"/>
    </row>
    <row r="753" spans="2:2" x14ac:dyDescent="0.3">
      <c r="B753" s="29"/>
    </row>
    <row r="754" spans="2:2" x14ac:dyDescent="0.3">
      <c r="B754" s="29"/>
    </row>
    <row r="755" spans="2:2" x14ac:dyDescent="0.3">
      <c r="B755" s="29"/>
    </row>
    <row r="756" spans="2:2" x14ac:dyDescent="0.3">
      <c r="B756" s="29"/>
    </row>
    <row r="757" spans="2:2" x14ac:dyDescent="0.3">
      <c r="B757" s="29"/>
    </row>
    <row r="758" spans="2:2" x14ac:dyDescent="0.3">
      <c r="B758" s="29"/>
    </row>
    <row r="759" spans="2:2" x14ac:dyDescent="0.3">
      <c r="B759" s="29"/>
    </row>
    <row r="760" spans="2:2" x14ac:dyDescent="0.3">
      <c r="B760" s="29"/>
    </row>
    <row r="761" spans="2:2" x14ac:dyDescent="0.3">
      <c r="B761" s="29"/>
    </row>
    <row r="762" spans="2:2" x14ac:dyDescent="0.3">
      <c r="B762" s="29"/>
    </row>
    <row r="763" spans="2:2" x14ac:dyDescent="0.3">
      <c r="B763" s="29"/>
    </row>
    <row r="764" spans="2:2" x14ac:dyDescent="0.3">
      <c r="B764" s="29"/>
    </row>
    <row r="765" spans="2:2" x14ac:dyDescent="0.3">
      <c r="B765" s="29"/>
    </row>
    <row r="766" spans="2:2" x14ac:dyDescent="0.3">
      <c r="B766" s="29"/>
    </row>
    <row r="767" spans="2:2" x14ac:dyDescent="0.3">
      <c r="B767" s="29"/>
    </row>
    <row r="768" spans="2:2" x14ac:dyDescent="0.3">
      <c r="B768" s="29"/>
    </row>
    <row r="769" spans="2:2" x14ac:dyDescent="0.3">
      <c r="B769" s="29"/>
    </row>
    <row r="770" spans="2:2" x14ac:dyDescent="0.3">
      <c r="B770" s="29"/>
    </row>
    <row r="771" spans="2:2" x14ac:dyDescent="0.3">
      <c r="B771" s="29"/>
    </row>
    <row r="772" spans="2:2" x14ac:dyDescent="0.3">
      <c r="B772" s="29"/>
    </row>
    <row r="773" spans="2:2" x14ac:dyDescent="0.3">
      <c r="B773" s="29"/>
    </row>
    <row r="774" spans="2:2" x14ac:dyDescent="0.3">
      <c r="B774" s="29"/>
    </row>
    <row r="775" spans="2:2" x14ac:dyDescent="0.3">
      <c r="B775" s="29"/>
    </row>
    <row r="776" spans="2:2" x14ac:dyDescent="0.3">
      <c r="B776" s="29"/>
    </row>
    <row r="777" spans="2:2" x14ac:dyDescent="0.3">
      <c r="B777" s="29"/>
    </row>
    <row r="778" spans="2:2" x14ac:dyDescent="0.3">
      <c r="B778" s="29"/>
    </row>
    <row r="779" spans="2:2" x14ac:dyDescent="0.3">
      <c r="B779" s="29"/>
    </row>
    <row r="780" spans="2:2" x14ac:dyDescent="0.3">
      <c r="B780" s="29"/>
    </row>
    <row r="781" spans="2:2" x14ac:dyDescent="0.3">
      <c r="B781" s="29"/>
    </row>
    <row r="782" spans="2:2" x14ac:dyDescent="0.3">
      <c r="B782" s="29"/>
    </row>
    <row r="783" spans="2:2" x14ac:dyDescent="0.3">
      <c r="B783" s="29"/>
    </row>
    <row r="784" spans="2:2" x14ac:dyDescent="0.3">
      <c r="B784" s="29"/>
    </row>
    <row r="785" spans="2:2" x14ac:dyDescent="0.3">
      <c r="B785" s="29"/>
    </row>
    <row r="786" spans="2:2" x14ac:dyDescent="0.3">
      <c r="B786" s="29"/>
    </row>
    <row r="787" spans="2:2" x14ac:dyDescent="0.3">
      <c r="B787" s="29"/>
    </row>
    <row r="788" spans="2:2" x14ac:dyDescent="0.3">
      <c r="B788" s="29"/>
    </row>
    <row r="789" spans="2:2" x14ac:dyDescent="0.3">
      <c r="B789" s="29"/>
    </row>
    <row r="790" spans="2:2" x14ac:dyDescent="0.3">
      <c r="B790" s="29"/>
    </row>
    <row r="791" spans="2:2" x14ac:dyDescent="0.3">
      <c r="B791" s="29"/>
    </row>
    <row r="792" spans="2:2" x14ac:dyDescent="0.3">
      <c r="B792" s="29"/>
    </row>
    <row r="793" spans="2:2" x14ac:dyDescent="0.3">
      <c r="B793" s="29"/>
    </row>
    <row r="794" spans="2:2" x14ac:dyDescent="0.3">
      <c r="B794" s="29"/>
    </row>
    <row r="795" spans="2:2" x14ac:dyDescent="0.3">
      <c r="B795" s="29"/>
    </row>
    <row r="796" spans="2:2" x14ac:dyDescent="0.3">
      <c r="B796" s="29"/>
    </row>
    <row r="797" spans="2:2" x14ac:dyDescent="0.3">
      <c r="B797" s="29"/>
    </row>
    <row r="798" spans="2:2" x14ac:dyDescent="0.3">
      <c r="B798" s="29"/>
    </row>
    <row r="799" spans="2:2" x14ac:dyDescent="0.3">
      <c r="B799" s="29"/>
    </row>
    <row r="800" spans="2:2" x14ac:dyDescent="0.3">
      <c r="B800" s="29"/>
    </row>
    <row r="801" spans="2:2" x14ac:dyDescent="0.3">
      <c r="B801" s="29"/>
    </row>
    <row r="802" spans="2:2" x14ac:dyDescent="0.3">
      <c r="B802" s="29"/>
    </row>
    <row r="803" spans="2:2" x14ac:dyDescent="0.3">
      <c r="B803" s="29"/>
    </row>
    <row r="804" spans="2:2" x14ac:dyDescent="0.3">
      <c r="B804" s="29"/>
    </row>
    <row r="805" spans="2:2" x14ac:dyDescent="0.3">
      <c r="B805" s="29"/>
    </row>
    <row r="806" spans="2:2" x14ac:dyDescent="0.3">
      <c r="B806" s="29"/>
    </row>
    <row r="807" spans="2:2" x14ac:dyDescent="0.3">
      <c r="B807" s="29"/>
    </row>
    <row r="808" spans="2:2" x14ac:dyDescent="0.3">
      <c r="B808" s="29"/>
    </row>
    <row r="809" spans="2:2" x14ac:dyDescent="0.3">
      <c r="B809" s="29"/>
    </row>
    <row r="810" spans="2:2" x14ac:dyDescent="0.3">
      <c r="B810" s="29"/>
    </row>
    <row r="811" spans="2:2" x14ac:dyDescent="0.3">
      <c r="B811" s="29"/>
    </row>
    <row r="812" spans="2:2" x14ac:dyDescent="0.3">
      <c r="B812" s="29"/>
    </row>
    <row r="813" spans="2:2" x14ac:dyDescent="0.3">
      <c r="B813" s="29"/>
    </row>
    <row r="814" spans="2:2" x14ac:dyDescent="0.3">
      <c r="B814" s="29"/>
    </row>
    <row r="815" spans="2:2" x14ac:dyDescent="0.3">
      <c r="B815" s="29"/>
    </row>
    <row r="816" spans="2:2" x14ac:dyDescent="0.3">
      <c r="B816" s="29"/>
    </row>
    <row r="817" spans="2:2" x14ac:dyDescent="0.3">
      <c r="B817" s="29"/>
    </row>
    <row r="818" spans="2:2" x14ac:dyDescent="0.3">
      <c r="B818" s="29"/>
    </row>
    <row r="819" spans="2:2" x14ac:dyDescent="0.3">
      <c r="B819" s="29"/>
    </row>
    <row r="820" spans="2:2" x14ac:dyDescent="0.3">
      <c r="B820" s="29"/>
    </row>
    <row r="821" spans="2:2" x14ac:dyDescent="0.3">
      <c r="B821" s="29"/>
    </row>
    <row r="822" spans="2:2" x14ac:dyDescent="0.3">
      <c r="B822" s="29"/>
    </row>
    <row r="823" spans="2:2" x14ac:dyDescent="0.3">
      <c r="B823" s="29"/>
    </row>
    <row r="824" spans="2:2" x14ac:dyDescent="0.3">
      <c r="B824" s="29"/>
    </row>
    <row r="825" spans="2:2" x14ac:dyDescent="0.3">
      <c r="B825" s="29"/>
    </row>
    <row r="826" spans="2:2" x14ac:dyDescent="0.3">
      <c r="B826" s="29"/>
    </row>
    <row r="827" spans="2:2" x14ac:dyDescent="0.3">
      <c r="B827" s="29"/>
    </row>
    <row r="828" spans="2:2" x14ac:dyDescent="0.3">
      <c r="B828" s="29"/>
    </row>
    <row r="829" spans="2:2" x14ac:dyDescent="0.3">
      <c r="B829" s="29"/>
    </row>
    <row r="830" spans="2:2" x14ac:dyDescent="0.3">
      <c r="B830" s="29"/>
    </row>
    <row r="831" spans="2:2" x14ac:dyDescent="0.3">
      <c r="B831" s="29"/>
    </row>
    <row r="832" spans="2:2" x14ac:dyDescent="0.3">
      <c r="B832" s="29"/>
    </row>
    <row r="833" spans="2:2" x14ac:dyDescent="0.3">
      <c r="B833" s="29"/>
    </row>
    <row r="834" spans="2:2" x14ac:dyDescent="0.3">
      <c r="B834" s="29"/>
    </row>
    <row r="835" spans="2:2" x14ac:dyDescent="0.3">
      <c r="B835" s="29"/>
    </row>
    <row r="836" spans="2:2" x14ac:dyDescent="0.3">
      <c r="B836" s="29"/>
    </row>
    <row r="837" spans="2:2" x14ac:dyDescent="0.3">
      <c r="B837" s="29"/>
    </row>
    <row r="838" spans="2:2" x14ac:dyDescent="0.3">
      <c r="B838" s="29"/>
    </row>
    <row r="839" spans="2:2" x14ac:dyDescent="0.3">
      <c r="B839" s="29"/>
    </row>
    <row r="840" spans="2:2" x14ac:dyDescent="0.3">
      <c r="B840" s="29"/>
    </row>
    <row r="841" spans="2:2" x14ac:dyDescent="0.3">
      <c r="B841" s="29"/>
    </row>
    <row r="842" spans="2:2" x14ac:dyDescent="0.3">
      <c r="B842" s="29"/>
    </row>
    <row r="843" spans="2:2" x14ac:dyDescent="0.3">
      <c r="B843" s="29"/>
    </row>
    <row r="844" spans="2:2" x14ac:dyDescent="0.3">
      <c r="B844" s="29"/>
    </row>
    <row r="845" spans="2:2" x14ac:dyDescent="0.3">
      <c r="B845" s="29"/>
    </row>
    <row r="846" spans="2:2" x14ac:dyDescent="0.3">
      <c r="B846" s="29"/>
    </row>
    <row r="847" spans="2:2" x14ac:dyDescent="0.3">
      <c r="B847" s="29"/>
    </row>
    <row r="848" spans="2:2" x14ac:dyDescent="0.3">
      <c r="B848" s="29"/>
    </row>
    <row r="849" spans="2:2" x14ac:dyDescent="0.3">
      <c r="B849" s="29"/>
    </row>
    <row r="850" spans="2:2" x14ac:dyDescent="0.3">
      <c r="B850" s="29"/>
    </row>
    <row r="851" spans="2:2" x14ac:dyDescent="0.3">
      <c r="B851" s="29"/>
    </row>
    <row r="852" spans="2:2" x14ac:dyDescent="0.3">
      <c r="B852" s="29"/>
    </row>
    <row r="853" spans="2:2" x14ac:dyDescent="0.3">
      <c r="B853" s="29"/>
    </row>
    <row r="854" spans="2:2" x14ac:dyDescent="0.3">
      <c r="B854" s="29"/>
    </row>
    <row r="855" spans="2:2" x14ac:dyDescent="0.3">
      <c r="B855" s="29"/>
    </row>
    <row r="856" spans="2:2" x14ac:dyDescent="0.3">
      <c r="B856" s="29"/>
    </row>
    <row r="857" spans="2:2" x14ac:dyDescent="0.3">
      <c r="B857" s="29"/>
    </row>
    <row r="858" spans="2:2" x14ac:dyDescent="0.3">
      <c r="B858" s="29"/>
    </row>
    <row r="859" spans="2:2" x14ac:dyDescent="0.3">
      <c r="B859" s="29"/>
    </row>
    <row r="860" spans="2:2" x14ac:dyDescent="0.3">
      <c r="B860" s="29"/>
    </row>
    <row r="861" spans="2:2" x14ac:dyDescent="0.3">
      <c r="B861" s="29"/>
    </row>
    <row r="862" spans="2:2" x14ac:dyDescent="0.3">
      <c r="B862" s="29"/>
    </row>
    <row r="863" spans="2:2" x14ac:dyDescent="0.3">
      <c r="B863" s="29"/>
    </row>
    <row r="864" spans="2:2" x14ac:dyDescent="0.3">
      <c r="B864" s="29"/>
    </row>
    <row r="865" spans="2:2" x14ac:dyDescent="0.3">
      <c r="B865" s="29"/>
    </row>
    <row r="866" spans="2:2" x14ac:dyDescent="0.3">
      <c r="B866" s="29"/>
    </row>
    <row r="867" spans="2:2" x14ac:dyDescent="0.3">
      <c r="B867" s="29"/>
    </row>
    <row r="868" spans="2:2" x14ac:dyDescent="0.3">
      <c r="B868" s="29"/>
    </row>
    <row r="869" spans="2:2" x14ac:dyDescent="0.3">
      <c r="B869" s="29"/>
    </row>
    <row r="870" spans="2:2" x14ac:dyDescent="0.3">
      <c r="B870" s="29"/>
    </row>
    <row r="871" spans="2:2" x14ac:dyDescent="0.3">
      <c r="B871" s="29"/>
    </row>
    <row r="872" spans="2:2" x14ac:dyDescent="0.3">
      <c r="B872" s="29"/>
    </row>
    <row r="873" spans="2:2" x14ac:dyDescent="0.3">
      <c r="B873" s="29"/>
    </row>
    <row r="874" spans="2:2" x14ac:dyDescent="0.3">
      <c r="B874" s="29"/>
    </row>
    <row r="875" spans="2:2" x14ac:dyDescent="0.3">
      <c r="B875" s="29"/>
    </row>
    <row r="876" spans="2:2" x14ac:dyDescent="0.3">
      <c r="B876" s="29"/>
    </row>
    <row r="877" spans="2:2" x14ac:dyDescent="0.3">
      <c r="B877" s="29"/>
    </row>
    <row r="878" spans="2:2" x14ac:dyDescent="0.3">
      <c r="B878" s="29"/>
    </row>
    <row r="879" spans="2:2" x14ac:dyDescent="0.3">
      <c r="B879" s="29"/>
    </row>
    <row r="880" spans="2:2" x14ac:dyDescent="0.3">
      <c r="B880" s="29"/>
    </row>
    <row r="881" spans="2:2" x14ac:dyDescent="0.3">
      <c r="B881" s="29"/>
    </row>
    <row r="882" spans="2:2" x14ac:dyDescent="0.3">
      <c r="B882" s="29"/>
    </row>
    <row r="883" spans="2:2" x14ac:dyDescent="0.3">
      <c r="B883" s="29"/>
    </row>
    <row r="884" spans="2:2" x14ac:dyDescent="0.3">
      <c r="B884" s="29"/>
    </row>
    <row r="885" spans="2:2" x14ac:dyDescent="0.3">
      <c r="B885" s="29"/>
    </row>
    <row r="886" spans="2:2" x14ac:dyDescent="0.3">
      <c r="B886" s="29"/>
    </row>
    <row r="887" spans="2:2" x14ac:dyDescent="0.3">
      <c r="B887" s="29"/>
    </row>
    <row r="888" spans="2:2" x14ac:dyDescent="0.3">
      <c r="B888" s="29"/>
    </row>
    <row r="889" spans="2:2" x14ac:dyDescent="0.3">
      <c r="B889" s="29"/>
    </row>
    <row r="890" spans="2:2" x14ac:dyDescent="0.3">
      <c r="B890" s="29"/>
    </row>
    <row r="891" spans="2:2" x14ac:dyDescent="0.3">
      <c r="B891" s="29"/>
    </row>
    <row r="892" spans="2:2" x14ac:dyDescent="0.3">
      <c r="B892" s="29"/>
    </row>
    <row r="893" spans="2:2" x14ac:dyDescent="0.3">
      <c r="B893" s="29"/>
    </row>
    <row r="894" spans="2:2" x14ac:dyDescent="0.3">
      <c r="B894" s="29"/>
    </row>
    <row r="895" spans="2:2" x14ac:dyDescent="0.3">
      <c r="B895" s="29"/>
    </row>
    <row r="896" spans="2:2" x14ac:dyDescent="0.3">
      <c r="B896" s="29"/>
    </row>
    <row r="897" spans="2:2" x14ac:dyDescent="0.3">
      <c r="B897" s="29"/>
    </row>
    <row r="898" spans="2:2" x14ac:dyDescent="0.3">
      <c r="B898" s="29"/>
    </row>
    <row r="899" spans="2:2" x14ac:dyDescent="0.3">
      <c r="B899" s="29"/>
    </row>
    <row r="900" spans="2:2" x14ac:dyDescent="0.3">
      <c r="B900" s="29"/>
    </row>
    <row r="901" spans="2:2" x14ac:dyDescent="0.3">
      <c r="B901" s="29"/>
    </row>
    <row r="902" spans="2:2" x14ac:dyDescent="0.3">
      <c r="B902" s="29"/>
    </row>
    <row r="903" spans="2:2" x14ac:dyDescent="0.3">
      <c r="B903" s="29"/>
    </row>
    <row r="904" spans="2:2" x14ac:dyDescent="0.3">
      <c r="B904" s="29"/>
    </row>
    <row r="905" spans="2:2" x14ac:dyDescent="0.3">
      <c r="B905" s="29"/>
    </row>
    <row r="906" spans="2:2" x14ac:dyDescent="0.3">
      <c r="B906" s="29"/>
    </row>
    <row r="907" spans="2:2" x14ac:dyDescent="0.3">
      <c r="B907" s="29"/>
    </row>
    <row r="908" spans="2:2" x14ac:dyDescent="0.3">
      <c r="B908" s="29"/>
    </row>
    <row r="909" spans="2:2" x14ac:dyDescent="0.3">
      <c r="B909" s="29"/>
    </row>
    <row r="910" spans="2:2" x14ac:dyDescent="0.3">
      <c r="B910" s="29"/>
    </row>
    <row r="911" spans="2:2" x14ac:dyDescent="0.3">
      <c r="B911" s="29"/>
    </row>
    <row r="912" spans="2:2" x14ac:dyDescent="0.3">
      <c r="B912" s="29"/>
    </row>
    <row r="913" spans="2:2" x14ac:dyDescent="0.3">
      <c r="B913" s="29"/>
    </row>
    <row r="914" spans="2:2" x14ac:dyDescent="0.3">
      <c r="B914" s="29"/>
    </row>
    <row r="915" spans="2:2" x14ac:dyDescent="0.3">
      <c r="B915" s="29"/>
    </row>
    <row r="916" spans="2:2" x14ac:dyDescent="0.3">
      <c r="B916" s="29"/>
    </row>
    <row r="917" spans="2:2" x14ac:dyDescent="0.3">
      <c r="B917" s="29"/>
    </row>
    <row r="918" spans="2:2" x14ac:dyDescent="0.3">
      <c r="B918" s="29"/>
    </row>
    <row r="919" spans="2:2" x14ac:dyDescent="0.3">
      <c r="B919" s="29"/>
    </row>
    <row r="920" spans="2:2" x14ac:dyDescent="0.3">
      <c r="B920" s="29"/>
    </row>
    <row r="921" spans="2:2" x14ac:dyDescent="0.3">
      <c r="B921" s="29"/>
    </row>
    <row r="922" spans="2:2" x14ac:dyDescent="0.3">
      <c r="B922" s="29"/>
    </row>
    <row r="923" spans="2:2" x14ac:dyDescent="0.3">
      <c r="B923" s="29"/>
    </row>
    <row r="924" spans="2:2" x14ac:dyDescent="0.3">
      <c r="B924" s="29"/>
    </row>
    <row r="925" spans="2:2" x14ac:dyDescent="0.3">
      <c r="B925" s="29"/>
    </row>
    <row r="926" spans="2:2" x14ac:dyDescent="0.3">
      <c r="B926" s="29"/>
    </row>
    <row r="927" spans="2:2" x14ac:dyDescent="0.3">
      <c r="B927" s="29"/>
    </row>
    <row r="928" spans="2:2" x14ac:dyDescent="0.3">
      <c r="B928" s="29"/>
    </row>
    <row r="929" spans="2:2" x14ac:dyDescent="0.3">
      <c r="B929" s="29"/>
    </row>
    <row r="930" spans="2:2" x14ac:dyDescent="0.3">
      <c r="B930" s="29"/>
    </row>
    <row r="931" spans="2:2" x14ac:dyDescent="0.3">
      <c r="B931" s="29"/>
    </row>
    <row r="932" spans="2:2" x14ac:dyDescent="0.3">
      <c r="B932" s="29"/>
    </row>
    <row r="933" spans="2:2" x14ac:dyDescent="0.3">
      <c r="B933" s="29"/>
    </row>
    <row r="934" spans="2:2" x14ac:dyDescent="0.3">
      <c r="B934" s="29"/>
    </row>
    <row r="935" spans="2:2" x14ac:dyDescent="0.3">
      <c r="B935" s="29"/>
    </row>
    <row r="936" spans="2:2" x14ac:dyDescent="0.3">
      <c r="B936" s="29"/>
    </row>
    <row r="937" spans="2:2" x14ac:dyDescent="0.3">
      <c r="B937" s="29"/>
    </row>
    <row r="942" spans="2:2" x14ac:dyDescent="0.3">
      <c r="B942" s="29"/>
    </row>
    <row r="943" spans="2:2" x14ac:dyDescent="0.3">
      <c r="B943" s="29"/>
    </row>
    <row r="944" spans="2:2" x14ac:dyDescent="0.3">
      <c r="B944" s="29"/>
    </row>
    <row r="945" spans="2:2" x14ac:dyDescent="0.3">
      <c r="B945" s="29"/>
    </row>
  </sheetData>
  <autoFilter ref="A4:D412" xr:uid="{00000000-0009-0000-0000-000006000000}"/>
  <sortState xmlns:xlrd2="http://schemas.microsoft.com/office/spreadsheetml/2017/richdata2" ref="A4:P360">
    <sortCondition ref="C4:C360"/>
    <sortCondition ref="B4:B360"/>
  </sortState>
  <mergeCells count="3">
    <mergeCell ref="A1:D1"/>
    <mergeCell ref="E1:F2"/>
    <mergeCell ref="E3:F3"/>
  </mergeCells>
  <phoneticPr fontId="0" type="noConversion"/>
  <conditionalFormatting sqref="A3:D395">
    <cfRule type="cellIs" dxfId="4" priority="1" operator="equal">
      <formula>0</formula>
    </cfRule>
  </conditionalFormatting>
  <conditionalFormatting sqref="A48:D178">
    <cfRule type="containsErrors" dxfId="3" priority="6">
      <formula>ISERROR(A48)</formula>
    </cfRule>
  </conditionalFormatting>
  <conditionalFormatting sqref="A180:D395">
    <cfRule type="containsErrors" dxfId="2" priority="2">
      <formula>ISERROR(A180)</formula>
    </cfRule>
  </conditionalFormatting>
  <conditionalFormatting sqref="C41 C179:D179">
    <cfRule type="containsErrors" dxfId="1" priority="42">
      <formula>ISERROR(C41)</formula>
    </cfRule>
  </conditionalFormatting>
  <conditionalFormatting sqref="D3:D47">
    <cfRule type="containsErrors" dxfId="0" priority="4">
      <formula>ISERROR(D3)</formula>
    </cfRule>
  </conditionalFormatting>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7</vt:i4>
      </vt:variant>
      <vt:variant>
        <vt:lpstr>Plages nommées</vt:lpstr>
      </vt:variant>
      <vt:variant>
        <vt:i4>33</vt:i4>
      </vt:variant>
    </vt:vector>
  </HeadingPairs>
  <TitlesOfParts>
    <vt:vector size="40" baseType="lpstr">
      <vt:lpstr>Tirage</vt:lpstr>
      <vt:lpstr>Match</vt:lpstr>
      <vt:lpstr>Classement impression</vt:lpstr>
      <vt:lpstr>Feuille de résultat</vt:lpstr>
      <vt:lpstr>Engagement tour suivant (1)</vt:lpstr>
      <vt:lpstr>Engagement tour suivant</vt:lpstr>
      <vt:lpstr>Joueurs</vt:lpstr>
      <vt:lpstr>'Engagement tour suivant'!_GoBack</vt:lpstr>
      <vt:lpstr>Categories</vt:lpstr>
      <vt:lpstr>Class_finale</vt:lpstr>
      <vt:lpstr>Classementfinal</vt:lpstr>
      <vt:lpstr>demifinale</vt:lpstr>
      <vt:lpstr>Finale</vt:lpstr>
      <vt:lpstr>joueurs</vt:lpstr>
      <vt:lpstr>Lieu</vt:lpstr>
      <vt:lpstr>Mécanisme_de_jeu</vt:lpstr>
      <vt:lpstr>Mini_bonus</vt:lpstr>
      <vt:lpstr>Mode_de_jeu</vt:lpstr>
      <vt:lpstr>Moyenneintermediaire</vt:lpstr>
      <vt:lpstr>p1_1</vt:lpstr>
      <vt:lpstr>p1_2</vt:lpstr>
      <vt:lpstr>Poule1</vt:lpstr>
      <vt:lpstr>poule2</vt:lpstr>
      <vt:lpstr>poule3</vt:lpstr>
      <vt:lpstr>poule4</vt:lpstr>
      <vt:lpstr>poule5</vt:lpstr>
      <vt:lpstr>Poule6</vt:lpstr>
      <vt:lpstr>Quota</vt:lpstr>
      <vt:lpstr>quotareduit</vt:lpstr>
      <vt:lpstr>Scenario1</vt:lpstr>
      <vt:lpstr>scenario2</vt:lpstr>
      <vt:lpstr>Stade_epreuve</vt:lpstr>
      <vt:lpstr>Tb_Moyenneintermediaire</vt:lpstr>
      <vt:lpstr>TourDeJeu</vt:lpstr>
      <vt:lpstr>TourDeJeu2</vt:lpstr>
      <vt:lpstr>'Classement impression'!Zone_d_impression</vt:lpstr>
      <vt:lpstr>'Engagement tour suivant'!Zone_d_impression</vt:lpstr>
      <vt:lpstr>'Engagement tour suivant (1)'!Zone_d_impression</vt:lpstr>
      <vt:lpstr>'Feuille de résultat'!Zone_d_impression</vt:lpstr>
      <vt:lpstr>Match!Zone_d_impression</vt:lpstr>
    </vt:vector>
  </TitlesOfParts>
  <Company>COB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COB</dc:creator>
  <cp:lastModifiedBy>steeve pelletier</cp:lastModifiedBy>
  <cp:revision/>
  <cp:lastPrinted>2026-01-24T17:01:19Z</cp:lastPrinted>
  <dcterms:created xsi:type="dcterms:W3CDTF">2009-10-27T13:11:27Z</dcterms:created>
  <dcterms:modified xsi:type="dcterms:W3CDTF">2026-01-26T11:49:52Z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209453224</vt:i4>
  </property>
  <property fmtid="{D5CDD505-2E9C-101B-9397-08002B2CF9AE}" pid="3" name="_EmailSubject">
    <vt:lpwstr>Classeur1.xls</vt:lpwstr>
  </property>
  <property fmtid="{D5CDD505-2E9C-101B-9397-08002B2CF9AE}" pid="4" name="_AuthorEmail">
    <vt:lpwstr>joel.alexanian@ratp.fr</vt:lpwstr>
  </property>
  <property fmtid="{D5CDD505-2E9C-101B-9397-08002B2CF9AE}" pid="5" name="_AuthorEmailDisplayName">
    <vt:lpwstr>ALEXANIAN Joel</vt:lpwstr>
  </property>
  <property fmtid="{D5CDD505-2E9C-101B-9397-08002B2CF9AE}" pid="6" name="_ReviewingToolsShownOnce">
    <vt:lpwstr/>
  </property>
</Properties>
</file>