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 tabRatio="665"/>
  </bookViews>
  <sheets>
    <sheet name="Tirage" sheetId="1" r:id="rId1"/>
    <sheet name="Match" sheetId="2" r:id="rId2"/>
    <sheet name="Classement impression" sheetId="3" r:id="rId3"/>
    <sheet name="Feuille de résultat" sheetId="5" state="hidden" r:id="rId4"/>
    <sheet name="Engagement tour suivant" sheetId="6" state="hidden" r:id="rId5"/>
    <sheet name="Licenciés" sheetId="4" r:id="rId6"/>
  </sheets>
  <externalReferences>
    <externalReference r:id="rId7"/>
    <externalReference r:id="rId8"/>
  </externalReferences>
  <definedNames>
    <definedName name="_xlnm._FilterDatabase" localSheetId="5" hidden="1">Licenciés!$A$2:$D$309</definedName>
    <definedName name="Categories">Tirage!$R$7:$R$21</definedName>
    <definedName name="Class_finale">Match!$BQ$5:$BU$22</definedName>
    <definedName name="ClassFeuilleResultat">'Classement impression'!$X$4:$AK$8</definedName>
    <definedName name="joueurs">Tirage!$A$6:$C$11</definedName>
    <definedName name="Lieu">Tirage!$Q$7:$Q$18</definedName>
    <definedName name="Mécanisme_de_jeu">Tirage!$L$7:$L$10</definedName>
    <definedName name="Mode_de_jeu">Tirage!$N$7:$N$10</definedName>
    <definedName name="Moyenneintermediaire">Match!$BA$37:$BJ$42</definedName>
    <definedName name="Nb_Joueurs_Impression">#REF!</definedName>
    <definedName name="p1_1">Match!$D$7:$K$8</definedName>
    <definedName name="poule4">Match!$D$31:$K$35</definedName>
    <definedName name="Quota">Tirage!$H$10</definedName>
    <definedName name="Rangfinal">Match!$T$33:$T$37</definedName>
    <definedName name="Saisie">'[1]Feuille de match'!$H$16:$J$16,'[1]Feuille de match'!$H$17,'[1]Feuille de match'!$J$17,'[1]Feuille de match'!$H$20:$J$20,'[1]Feuille de match'!$H$21,'[1]Feuille de match'!$J$21,'[1]Feuille de match'!$H$24:$J$24,'[1]Feuille de match'!$J$25,'[1]Feuille de match'!$H$25,'[1]Feuille de match'!$H$28:$J$28,'[1]Feuille de match'!$J$29,'[1]Feuille de match'!$H$29,'[1]Feuille de match'!$H$32:$J$32,'[1]Feuille de match'!$J$33,'[1]Feuille de match'!$H$33,'[1]Feuille de match'!$H$36:$J$36,'[1]Feuille de match'!$J$37,'[1]Feuille de match'!$H$37,'[1]Feuille de match'!$H$40:$J$40,'[1]Feuille de match'!$J$41,'[1]Feuille de match'!$H$41,'[1]Feuille de match'!$H$44:$J$44,'[1]Feuille de match'!$H$45,'[1]Feuille de match'!$J$45,'[1]Feuille de match'!$H$48:$J$48,'[1]Feuille de match'!$J$49,'[1]Feuille de match'!$H$49,'[1]Feuille de match'!$H$52:$J$52,'[1]Feuille de match'!$J$53,'[1]Feuille de match'!$H$53,'[1]Feuille de match'!$R$4:$R$9</definedName>
    <definedName name="Scenario1">Match!$AL$3:$AO$26</definedName>
    <definedName name="ScenarioTableau">Match!$BJ$3:$BM$13</definedName>
    <definedName name="Stade_epreuve">Tirage!$N$11:$N$13</definedName>
    <definedName name="Tb_Moyenneintermediaire">Match!$BP$3:$BV$12</definedName>
    <definedName name="Tour1">Match!$C$7:$K$11</definedName>
    <definedName name="Tour2">Match!$C$15:$K$19</definedName>
    <definedName name="Tour3">Match!$C$23:$K$27</definedName>
    <definedName name="tour4">[2]Match!$B$23:$J$27,[2]Match!#REF!,[2]Match!#REF!,[2]Match!#REF!</definedName>
    <definedName name="TourDeJeu">Match!$AL$3:$AO$45</definedName>
    <definedName name="_xlnm.Print_Area" localSheetId="2">'Classement impression'!$A$1:$R$29</definedName>
    <definedName name="_xlnm.Print_Area" localSheetId="4">'Engagement tour suivant'!$C$1:$L$50</definedName>
    <definedName name="_xlnm.Print_Area" localSheetId="3">'Feuille de résultat'!$B$1:$Q$40</definedName>
    <definedName name="_xlnm.Print_Area" localSheetId="1">Match!$B$2:$M$53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" l="1"/>
  <c r="U25" i="1"/>
  <c r="U28" i="3" l="1"/>
  <c r="U27" i="3"/>
  <c r="U26" i="3"/>
  <c r="G19" i="2" l="1"/>
  <c r="G11" i="2"/>
  <c r="Z25" i="3" l="1"/>
  <c r="Z22" i="3"/>
  <c r="Z23" i="3"/>
  <c r="Z24" i="3"/>
  <c r="Z21" i="3"/>
  <c r="AK4" i="3"/>
  <c r="AK5" i="3"/>
  <c r="AK6" i="3"/>
  <c r="AK7" i="3"/>
  <c r="AK8" i="3"/>
  <c r="S11" i="1"/>
  <c r="W12" i="2"/>
  <c r="W34" i="2" s="1"/>
  <c r="AC5" i="3" s="1"/>
  <c r="W17" i="2"/>
  <c r="W35" i="2" s="1"/>
  <c r="AC6" i="3" s="1"/>
  <c r="W22" i="2"/>
  <c r="W36" i="2" s="1"/>
  <c r="W27" i="2"/>
  <c r="W28" i="2" s="1"/>
  <c r="W29" i="2" s="1"/>
  <c r="W7" i="2"/>
  <c r="W33" i="2" s="1"/>
  <c r="AC4" i="3" s="1"/>
  <c r="U22" i="1"/>
  <c r="U6" i="1"/>
  <c r="AC7" i="3" l="1"/>
  <c r="W18" i="2"/>
  <c r="W19" i="2" s="1"/>
  <c r="W8" i="2"/>
  <c r="W9" i="2" s="1"/>
  <c r="W13" i="2"/>
  <c r="W14" i="2" s="1"/>
  <c r="W23" i="2"/>
  <c r="W24" i="2" s="1"/>
  <c r="W37" i="2"/>
  <c r="G24" i="2"/>
  <c r="I24" i="2" s="1"/>
  <c r="I19" i="2"/>
  <c r="G16" i="2"/>
  <c r="O10" i="3" s="1"/>
  <c r="I19" i="6"/>
  <c r="E19" i="6"/>
  <c r="O17" i="6"/>
  <c r="P17" i="6" s="1"/>
  <c r="B9" i="5"/>
  <c r="M30" i="5"/>
  <c r="C36" i="6" s="1"/>
  <c r="Z15" i="5"/>
  <c r="Y15" i="5"/>
  <c r="X15" i="5"/>
  <c r="W15" i="5"/>
  <c r="V15" i="5"/>
  <c r="U15" i="5"/>
  <c r="L11" i="5"/>
  <c r="D11" i="5"/>
  <c r="L10" i="5"/>
  <c r="D10" i="5"/>
  <c r="E9" i="3"/>
  <c r="I26" i="2"/>
  <c r="I23" i="2"/>
  <c r="I18" i="2"/>
  <c r="I15" i="2"/>
  <c r="I10" i="2"/>
  <c r="I7" i="2"/>
  <c r="P17" i="3"/>
  <c r="N17" i="3"/>
  <c r="P16" i="3"/>
  <c r="O16" i="3"/>
  <c r="Q16" i="3" s="1"/>
  <c r="N16" i="3"/>
  <c r="P15" i="3"/>
  <c r="N15" i="3"/>
  <c r="P14" i="3"/>
  <c r="O14" i="3"/>
  <c r="N14" i="3"/>
  <c r="P12" i="3"/>
  <c r="N12" i="3"/>
  <c r="P11" i="3"/>
  <c r="O11" i="3"/>
  <c r="N11" i="3"/>
  <c r="P10" i="3"/>
  <c r="N10" i="3"/>
  <c r="P9" i="3"/>
  <c r="O9" i="3"/>
  <c r="N9" i="3"/>
  <c r="P7" i="3"/>
  <c r="N7" i="3"/>
  <c r="P6" i="3"/>
  <c r="O6" i="3"/>
  <c r="N6" i="3"/>
  <c r="P5" i="3"/>
  <c r="N5" i="3"/>
  <c r="P4" i="3"/>
  <c r="O4" i="3"/>
  <c r="N4" i="3"/>
  <c r="K27" i="2"/>
  <c r="K26" i="2"/>
  <c r="K24" i="2"/>
  <c r="K23" i="2"/>
  <c r="K19" i="2"/>
  <c r="K18" i="2"/>
  <c r="K16" i="2"/>
  <c r="K15" i="2"/>
  <c r="K11" i="2"/>
  <c r="K10" i="2"/>
  <c r="K8" i="2"/>
  <c r="L8" i="2" s="1"/>
  <c r="K7" i="2"/>
  <c r="L7" i="2" s="1"/>
  <c r="G27" i="2"/>
  <c r="O17" i="3" s="1"/>
  <c r="Q17" i="3" s="1"/>
  <c r="G8" i="2"/>
  <c r="O5" i="3" s="1"/>
  <c r="E8" i="3"/>
  <c r="E7" i="3"/>
  <c r="E6" i="3"/>
  <c r="E5" i="3"/>
  <c r="E4" i="3"/>
  <c r="B7" i="1"/>
  <c r="AA22" i="3" s="1"/>
  <c r="AD5" i="3" s="1"/>
  <c r="B10" i="1"/>
  <c r="AA25" i="3" s="1"/>
  <c r="U37" i="1"/>
  <c r="U38" i="1"/>
  <c r="U39" i="1"/>
  <c r="U19" i="1"/>
  <c r="U32" i="1"/>
  <c r="U20" i="1"/>
  <c r="U3" i="1"/>
  <c r="V2" i="1" s="1"/>
  <c r="H10" i="1" s="1"/>
  <c r="U4" i="1"/>
  <c r="S5" i="1"/>
  <c r="S3" i="1"/>
  <c r="S15" i="5"/>
  <c r="S6" i="1"/>
  <c r="S7" i="1"/>
  <c r="S8" i="1"/>
  <c r="S9" i="1"/>
  <c r="U5" i="1"/>
  <c r="U7" i="1"/>
  <c r="U8" i="1"/>
  <c r="U9" i="1"/>
  <c r="U10" i="1"/>
  <c r="U11" i="1"/>
  <c r="U12" i="1"/>
  <c r="U13" i="1"/>
  <c r="U14" i="1"/>
  <c r="U15" i="1"/>
  <c r="U16" i="1"/>
  <c r="U17" i="1"/>
  <c r="U18" i="1"/>
  <c r="U21" i="1"/>
  <c r="U23" i="1"/>
  <c r="U24" i="1"/>
  <c r="U27" i="1"/>
  <c r="U28" i="1"/>
  <c r="U29" i="1"/>
  <c r="U30" i="1"/>
  <c r="U31" i="1"/>
  <c r="U33" i="1"/>
  <c r="U34" i="1"/>
  <c r="U35" i="1"/>
  <c r="U36" i="1"/>
  <c r="U40" i="1"/>
  <c r="U41" i="1"/>
  <c r="U42" i="1"/>
  <c r="U43" i="1"/>
  <c r="BL43" i="2"/>
  <c r="BL44" i="2"/>
  <c r="BC10" i="2"/>
  <c r="D6" i="3"/>
  <c r="B8" i="1"/>
  <c r="AA23" i="3" s="1"/>
  <c r="AD6" i="3" s="1"/>
  <c r="B9" i="1"/>
  <c r="AA24" i="3" s="1"/>
  <c r="B6" i="1"/>
  <c r="AA21" i="3" s="1"/>
  <c r="AD4" i="3" s="1"/>
  <c r="R5" i="3" l="1"/>
  <c r="R4" i="3"/>
  <c r="J7" i="2"/>
  <c r="R16" i="3"/>
  <c r="J26" i="2"/>
  <c r="AC8" i="3"/>
  <c r="AD8" i="3" s="1"/>
  <c r="R17" i="3"/>
  <c r="AD7" i="3"/>
  <c r="R6" i="3"/>
  <c r="J10" i="2"/>
  <c r="R7" i="3"/>
  <c r="R14" i="3"/>
  <c r="J23" i="2"/>
  <c r="R15" i="3"/>
  <c r="J24" i="2"/>
  <c r="R11" i="3"/>
  <c r="J18" i="2"/>
  <c r="R12" i="3"/>
  <c r="J19" i="2"/>
  <c r="R10" i="3"/>
  <c r="R9" i="3"/>
  <c r="J15" i="2"/>
  <c r="O12" i="3"/>
  <c r="Q12" i="3" s="1"/>
  <c r="O7" i="3"/>
  <c r="Q7" i="3" s="1"/>
  <c r="I11" i="2"/>
  <c r="J11" i="2" s="1"/>
  <c r="Q14" i="3"/>
  <c r="Q4" i="3"/>
  <c r="Q11" i="3"/>
  <c r="Q9" i="3"/>
  <c r="Q6" i="3"/>
  <c r="Q10" i="3"/>
  <c r="Q5" i="3"/>
  <c r="BC7" i="2"/>
  <c r="I16" i="2"/>
  <c r="J16" i="2" s="1"/>
  <c r="O15" i="3"/>
  <c r="Q15" i="3" s="1"/>
  <c r="BC9" i="2"/>
  <c r="BC6" i="2"/>
  <c r="I8" i="2"/>
  <c r="I27" i="2"/>
  <c r="J27" i="2" s="1"/>
  <c r="W2" i="1"/>
  <c r="S15" i="1"/>
  <c r="Q17" i="6"/>
  <c r="C44" i="6" s="1"/>
  <c r="F15" i="6"/>
  <c r="J8" i="2" l="1"/>
  <c r="Q5" i="1"/>
  <c r="AN38" i="2"/>
  <c r="AO36" i="2"/>
  <c r="AM37" i="2"/>
  <c r="AM35" i="2"/>
  <c r="AL37" i="2"/>
  <c r="AO39" i="2"/>
  <c r="AL35" i="2"/>
  <c r="AM39" i="2"/>
  <c r="AN36" i="2"/>
  <c r="AO37" i="2"/>
  <c r="AN37" i="2"/>
  <c r="AO35" i="2"/>
  <c r="AO38" i="2"/>
  <c r="AN35" i="2"/>
  <c r="X17" i="3" l="1"/>
  <c r="B17" i="3" s="1"/>
  <c r="X16" i="3"/>
  <c r="B16" i="3" s="1"/>
  <c r="X15" i="3"/>
  <c r="B15" i="3" s="1"/>
  <c r="B4" i="2"/>
  <c r="X14" i="3"/>
  <c r="B14" i="3" s="1"/>
  <c r="X13" i="3"/>
  <c r="B13" i="3" s="1"/>
  <c r="S37" i="2" l="1"/>
  <c r="Y8" i="3" s="1"/>
  <c r="E15" i="2"/>
  <c r="B11" i="2"/>
  <c r="D11" i="2" s="1"/>
  <c r="B19" i="2"/>
  <c r="D19" i="2" s="1"/>
  <c r="M12" i="3" s="1"/>
  <c r="B15" i="2"/>
  <c r="BA41" i="2"/>
  <c r="E26" i="2"/>
  <c r="BA38" i="2"/>
  <c r="E23" i="2"/>
  <c r="S36" i="2"/>
  <c r="Y7" i="3" s="1"/>
  <c r="S34" i="2"/>
  <c r="Y5" i="3" s="1"/>
  <c r="S35" i="2"/>
  <c r="Y6" i="3" s="1"/>
  <c r="S33" i="2"/>
  <c r="Y4" i="3" s="1"/>
  <c r="BA39" i="2"/>
  <c r="B23" i="2"/>
  <c r="B18" i="2"/>
  <c r="E10" i="2"/>
  <c r="BA40" i="2"/>
  <c r="E18" i="2"/>
  <c r="D5" i="2"/>
  <c r="L4" i="3" s="1"/>
  <c r="B10" i="2"/>
  <c r="E7" i="2"/>
  <c r="B8" i="2"/>
  <c r="B26" i="2"/>
  <c r="D21" i="2"/>
  <c r="L14" i="3" s="1"/>
  <c r="BA42" i="2"/>
  <c r="B27" i="2"/>
  <c r="C27" i="2" s="1"/>
  <c r="B7" i="2"/>
  <c r="M7" i="2" s="1"/>
  <c r="D13" i="2"/>
  <c r="L9" i="3" s="1"/>
  <c r="BA37" i="2"/>
  <c r="BB42" i="2"/>
  <c r="BB39" i="2"/>
  <c r="C15" i="2" l="1"/>
  <c r="M8" i="2"/>
  <c r="M10" i="2"/>
  <c r="M11" i="2" s="1"/>
  <c r="M26" i="2"/>
  <c r="M27" i="2"/>
  <c r="M18" i="2"/>
  <c r="M19" i="2" s="1"/>
  <c r="D15" i="2"/>
  <c r="M9" i="3" s="1"/>
  <c r="C23" i="2"/>
  <c r="C26" i="2"/>
  <c r="D18" i="2"/>
  <c r="M11" i="3" s="1"/>
  <c r="M7" i="3"/>
  <c r="N7" i="2"/>
  <c r="D8" i="2"/>
  <c r="C19" i="2"/>
  <c r="BB7" i="2"/>
  <c r="N8" i="2"/>
  <c r="BB6" i="2"/>
  <c r="C18" i="2"/>
  <c r="BB9" i="2"/>
  <c r="C11" i="2"/>
  <c r="C8" i="2"/>
  <c r="BB10" i="2"/>
  <c r="D23" i="2"/>
  <c r="M14" i="3" s="1"/>
  <c r="D7" i="2"/>
  <c r="C7" i="2"/>
  <c r="D10" i="2"/>
  <c r="C10" i="2"/>
  <c r="D26" i="2"/>
  <c r="M16" i="3" s="1"/>
  <c r="D27" i="2"/>
  <c r="M17" i="3" s="1"/>
  <c r="BB38" i="2"/>
  <c r="BB37" i="2"/>
  <c r="BB40" i="2"/>
  <c r="BB41" i="2"/>
  <c r="BL42" i="2"/>
  <c r="BD42" i="2" s="1"/>
  <c r="BF39" i="2"/>
  <c r="BL39" i="2"/>
  <c r="BD39" i="2" s="1"/>
  <c r="M4" i="3" l="1"/>
  <c r="M6" i="3"/>
  <c r="M5" i="3"/>
  <c r="AM18" i="2"/>
  <c r="B24" i="2" s="1"/>
  <c r="M23" i="2" s="1"/>
  <c r="M24" i="2" s="1"/>
  <c r="AM13" i="2"/>
  <c r="B16" i="2" s="1"/>
  <c r="M15" i="2" s="1"/>
  <c r="M16" i="2" s="1"/>
  <c r="U17" i="2"/>
  <c r="X17" i="2" s="1"/>
  <c r="U7" i="2"/>
  <c r="X7" i="2" s="1"/>
  <c r="U12" i="2"/>
  <c r="AB12" i="2" s="1"/>
  <c r="U22" i="2"/>
  <c r="AB22" i="2" s="1"/>
  <c r="U27" i="2"/>
  <c r="BF42" i="2"/>
  <c r="BC37" i="2"/>
  <c r="BE42" i="2"/>
  <c r="BC42" i="2"/>
  <c r="BC39" i="2"/>
  <c r="BG39" i="2"/>
  <c r="C24" i="2" l="1"/>
  <c r="C16" i="2"/>
  <c r="D24" i="2"/>
  <c r="M15" i="3" s="1"/>
  <c r="D16" i="2"/>
  <c r="M10" i="3" s="1"/>
  <c r="Z17" i="2"/>
  <c r="AA17" i="2"/>
  <c r="AB27" i="2"/>
  <c r="AC17" i="2"/>
  <c r="V17" i="2" s="1"/>
  <c r="AB17" i="2"/>
  <c r="Y17" i="2"/>
  <c r="AB7" i="2"/>
  <c r="Z27" i="2"/>
  <c r="AA12" i="2"/>
  <c r="X22" i="2"/>
  <c r="AC22" i="2"/>
  <c r="V22" i="2" s="1"/>
  <c r="AA22" i="2"/>
  <c r="AA27" i="2"/>
  <c r="Y27" i="2"/>
  <c r="AC7" i="2"/>
  <c r="AC27" i="2"/>
  <c r="Y22" i="2"/>
  <c r="Y12" i="2"/>
  <c r="X27" i="2"/>
  <c r="Z22" i="2"/>
  <c r="Z12" i="2"/>
  <c r="Y7" i="2"/>
  <c r="X12" i="2"/>
  <c r="Z7" i="2"/>
  <c r="AC12" i="2"/>
  <c r="V12" i="2" s="1"/>
  <c r="BF38" i="2"/>
  <c r="BL37" i="2"/>
  <c r="BF37" i="2"/>
  <c r="BL38" i="2"/>
  <c r="BD38" i="2" s="1"/>
  <c r="BF41" i="2"/>
  <c r="BL40" i="2"/>
  <c r="BD40" i="2" s="1"/>
  <c r="BF40" i="2"/>
  <c r="BL41" i="2"/>
  <c r="BD41" i="2" s="1"/>
  <c r="BG42" i="2"/>
  <c r="BJ39" i="2"/>
  <c r="BE39" i="2"/>
  <c r="U24" i="2" l="1"/>
  <c r="Y24" i="2" s="1"/>
  <c r="U9" i="2"/>
  <c r="U19" i="2"/>
  <c r="U14" i="2"/>
  <c r="U29" i="2"/>
  <c r="Y29" i="2" s="1"/>
  <c r="U18" i="2"/>
  <c r="AC18" i="2" s="1"/>
  <c r="V18" i="2" s="1"/>
  <c r="U23" i="2"/>
  <c r="Y23" i="2" s="1"/>
  <c r="U8" i="2"/>
  <c r="Z8" i="2" s="1"/>
  <c r="U13" i="2"/>
  <c r="U28" i="2"/>
  <c r="V7" i="2"/>
  <c r="V27" i="2"/>
  <c r="BG41" i="2"/>
  <c r="BD37" i="2"/>
  <c r="BC38" i="2"/>
  <c r="BG37" i="2"/>
  <c r="BC41" i="2"/>
  <c r="BG40" i="2"/>
  <c r="BG38" i="2"/>
  <c r="BC40" i="2"/>
  <c r="BJ42" i="2"/>
  <c r="Y36" i="2" l="1"/>
  <c r="Z24" i="2"/>
  <c r="AB24" i="2"/>
  <c r="AC24" i="2"/>
  <c r="V24" i="2" s="1"/>
  <c r="X24" i="2"/>
  <c r="AB29" i="2"/>
  <c r="Z19" i="2"/>
  <c r="AC19" i="2"/>
  <c r="V19" i="2" s="1"/>
  <c r="AB19" i="2"/>
  <c r="X29" i="2"/>
  <c r="AC29" i="2"/>
  <c r="V29" i="2" s="1"/>
  <c r="AB9" i="2"/>
  <c r="AC9" i="2"/>
  <c r="V9" i="2" s="1"/>
  <c r="Z9" i="2"/>
  <c r="Z33" i="2" s="1"/>
  <c r="Y9" i="2"/>
  <c r="X9" i="2"/>
  <c r="Z14" i="2"/>
  <c r="AC14" i="2"/>
  <c r="V14" i="2" s="1"/>
  <c r="AB14" i="2"/>
  <c r="Y14" i="2"/>
  <c r="Z29" i="2"/>
  <c r="X19" i="2"/>
  <c r="Y19" i="2"/>
  <c r="X14" i="2"/>
  <c r="X23" i="2"/>
  <c r="X13" i="2"/>
  <c r="Y13" i="2"/>
  <c r="AC13" i="2"/>
  <c r="AB8" i="2"/>
  <c r="AB18" i="2"/>
  <c r="Y18" i="2"/>
  <c r="Z23" i="2"/>
  <c r="X18" i="2"/>
  <c r="Z18" i="2"/>
  <c r="AC23" i="2"/>
  <c r="Z13" i="2"/>
  <c r="AB23" i="2"/>
  <c r="AB13" i="2"/>
  <c r="AC8" i="2"/>
  <c r="Y8" i="2"/>
  <c r="X8" i="2"/>
  <c r="AC28" i="2"/>
  <c r="AB28" i="2"/>
  <c r="Z28" i="2"/>
  <c r="Y28" i="2"/>
  <c r="Y37" i="2" s="1"/>
  <c r="X28" i="2"/>
  <c r="BE38" i="2"/>
  <c r="BJ38" i="2"/>
  <c r="BE40" i="2"/>
  <c r="BJ40" i="2"/>
  <c r="BE41" i="2"/>
  <c r="BJ41" i="2"/>
  <c r="BE37" i="2"/>
  <c r="BJ37" i="2"/>
  <c r="AC35" i="2" l="1"/>
  <c r="AB6" i="3" s="1"/>
  <c r="AB35" i="2"/>
  <c r="AI6" i="3" s="1"/>
  <c r="AB36" i="2"/>
  <c r="AI7" i="3" s="1"/>
  <c r="X37" i="2"/>
  <c r="Z36" i="2"/>
  <c r="AB34" i="2"/>
  <c r="AI5" i="3" s="1"/>
  <c r="X36" i="2"/>
  <c r="X33" i="2"/>
  <c r="Z37" i="2"/>
  <c r="X35" i="2"/>
  <c r="AB37" i="2"/>
  <c r="AI8" i="3" s="1"/>
  <c r="Z34" i="2"/>
  <c r="Y35" i="2"/>
  <c r="Y33" i="2"/>
  <c r="AF4" i="3" s="1"/>
  <c r="Z35" i="2"/>
  <c r="X34" i="2"/>
  <c r="Y34" i="2"/>
  <c r="AB33" i="2"/>
  <c r="AI4" i="3" s="1"/>
  <c r="V23" i="2"/>
  <c r="AC36" i="2"/>
  <c r="V13" i="2"/>
  <c r="AC34" i="2"/>
  <c r="AB5" i="3" s="1"/>
  <c r="V8" i="2"/>
  <c r="AC33" i="2"/>
  <c r="AB4" i="3" s="1"/>
  <c r="V28" i="2"/>
  <c r="AC37" i="2"/>
  <c r="AZ42" i="2"/>
  <c r="AY42" i="2" s="1"/>
  <c r="AZ38" i="2"/>
  <c r="AY38" i="2" s="1"/>
  <c r="AZ41" i="2"/>
  <c r="AY41" i="2" s="1"/>
  <c r="AZ40" i="2"/>
  <c r="AY40" i="2" s="1"/>
  <c r="BB14" i="2" s="1"/>
  <c r="BC14" i="2" s="1"/>
  <c r="AZ39" i="2"/>
  <c r="AY39" i="2" s="1"/>
  <c r="AZ37" i="2"/>
  <c r="AY37" i="2" s="1"/>
  <c r="AA35" i="2" l="1"/>
  <c r="T35" i="2" s="1"/>
  <c r="Z6" i="3" s="1"/>
  <c r="AB7" i="3"/>
  <c r="AB8" i="3"/>
  <c r="AA34" i="2"/>
  <c r="T34" i="2" s="1"/>
  <c r="Z5" i="3" s="1"/>
  <c r="AA36" i="2"/>
  <c r="AH7" i="3" s="1"/>
  <c r="AE4" i="3"/>
  <c r="AA33" i="2"/>
  <c r="T33" i="2" s="1"/>
  <c r="AA37" i="2"/>
  <c r="T37" i="2" s="1"/>
  <c r="Z8" i="3" s="1"/>
  <c r="BB18" i="2"/>
  <c r="BC18" i="2" s="1"/>
  <c r="BB16" i="2"/>
  <c r="BC16" i="2" s="1"/>
  <c r="BB13" i="2"/>
  <c r="BC13" i="2" s="1"/>
  <c r="BB17" i="2"/>
  <c r="BC17" i="2" s="1"/>
  <c r="BB15" i="2"/>
  <c r="BC15" i="2" s="1"/>
  <c r="T36" i="2" l="1"/>
  <c r="Z7" i="3" s="1"/>
  <c r="AH8" i="3"/>
  <c r="Z4" i="3"/>
  <c r="AH4" i="3"/>
  <c r="U20" i="5"/>
  <c r="U17" i="5"/>
  <c r="U18" i="5"/>
  <c r="U19" i="5"/>
  <c r="F18" i="3"/>
  <c r="J18" i="3"/>
  <c r="G18" i="3"/>
  <c r="H18" i="3"/>
  <c r="I18" i="3"/>
  <c r="D18" i="3"/>
  <c r="R37" i="2" l="1"/>
  <c r="X8" i="3" s="1"/>
  <c r="R34" i="2"/>
  <c r="X5" i="3" s="1"/>
  <c r="R36" i="2"/>
  <c r="X7" i="3" s="1"/>
  <c r="R33" i="2"/>
  <c r="X4" i="3" s="1"/>
  <c r="R35" i="2"/>
  <c r="X6" i="3" s="1"/>
  <c r="AE5" i="3"/>
  <c r="C15" i="3" l="1"/>
  <c r="C14" i="3"/>
  <c r="C16" i="3"/>
  <c r="J16" i="3"/>
  <c r="J13" i="3"/>
  <c r="P16" i="5" s="1"/>
  <c r="D15" i="3"/>
  <c r="C18" i="5" s="1"/>
  <c r="D16" i="3"/>
  <c r="C19" i="5" s="1"/>
  <c r="C13" i="3"/>
  <c r="D14" i="3"/>
  <c r="C17" i="5" s="1"/>
  <c r="F28" i="6" s="1"/>
  <c r="J14" i="3"/>
  <c r="D13" i="3"/>
  <c r="C16" i="5" s="1"/>
  <c r="F23" i="6" s="1"/>
  <c r="J15" i="3"/>
  <c r="E16" i="3"/>
  <c r="E14" i="3"/>
  <c r="E13" i="3"/>
  <c r="E15" i="3"/>
  <c r="S19" i="5" l="1"/>
  <c r="T19" i="5" s="1"/>
  <c r="E19" i="5" s="1"/>
  <c r="X16" i="5"/>
  <c r="K25" i="6" s="1"/>
  <c r="S17" i="5"/>
  <c r="T17" i="5" s="1"/>
  <c r="E17" i="5" s="1"/>
  <c r="K28" i="6" s="1"/>
  <c r="S16" i="5"/>
  <c r="T16" i="5" s="1"/>
  <c r="E16" i="5" s="1"/>
  <c r="K23" i="6" s="1"/>
  <c r="S18" i="5"/>
  <c r="T18" i="5" s="1"/>
  <c r="E18" i="5" s="1"/>
  <c r="U16" i="5"/>
  <c r="L16" i="5"/>
  <c r="AH5" i="3"/>
  <c r="AF5" i="3"/>
  <c r="AG5" i="3" l="1"/>
  <c r="AJ5" i="3"/>
  <c r="AJ6" i="3"/>
  <c r="AG6" i="3"/>
  <c r="AG4" i="3"/>
  <c r="AH6" i="3"/>
  <c r="AE6" i="3"/>
  <c r="AF6" i="3"/>
  <c r="AJ4" i="3"/>
  <c r="AJ7" i="3"/>
  <c r="AE7" i="3"/>
  <c r="AF7" i="3"/>
  <c r="AG7" i="3"/>
  <c r="X17" i="5" l="1"/>
  <c r="K30" i="6" s="1"/>
  <c r="X18" i="5"/>
  <c r="AJ8" i="3"/>
  <c r="AG8" i="3"/>
  <c r="H15" i="3" s="1"/>
  <c r="Z18" i="5" s="1"/>
  <c r="AE8" i="3"/>
  <c r="F15" i="3" s="1"/>
  <c r="AF8" i="3"/>
  <c r="F14" i="3" l="1"/>
  <c r="V17" i="5" s="1"/>
  <c r="G15" i="3"/>
  <c r="W18" i="5" s="1"/>
  <c r="G13" i="3"/>
  <c r="H13" i="3"/>
  <c r="Z16" i="5" s="1"/>
  <c r="F13" i="3"/>
  <c r="M16" i="5" s="1"/>
  <c r="G14" i="3"/>
  <c r="W17" i="5" s="1"/>
  <c r="H14" i="3"/>
  <c r="Z17" i="5" s="1"/>
  <c r="I15" i="3"/>
  <c r="Y18" i="5" s="1"/>
  <c r="F16" i="3"/>
  <c r="V19" i="5" s="1"/>
  <c r="X19" i="5"/>
  <c r="H16" i="3"/>
  <c r="V18" i="5"/>
  <c r="G16" i="3"/>
  <c r="W19" i="5" s="1"/>
  <c r="I13" i="3" l="1"/>
  <c r="Y16" i="5" s="1"/>
  <c r="V16" i="5"/>
  <c r="I14" i="3"/>
  <c r="Y17" i="5" s="1"/>
  <c r="N16" i="5"/>
  <c r="W16" i="5"/>
  <c r="Z19" i="5"/>
  <c r="I16" i="3"/>
  <c r="Y19" i="5" s="1"/>
  <c r="E17" i="3"/>
  <c r="C17" i="3"/>
  <c r="G17" i="3"/>
  <c r="W20" i="5" s="1"/>
  <c r="J17" i="3"/>
  <c r="X20" i="5" s="1"/>
  <c r="D17" i="3"/>
  <c r="F17" i="3"/>
  <c r="V20" i="5" s="1"/>
  <c r="H17" i="3"/>
  <c r="Z20" i="5" s="1"/>
  <c r="S20" i="5" l="1"/>
  <c r="T20" i="5" s="1"/>
  <c r="E20" i="5" s="1"/>
  <c r="C20" i="5"/>
  <c r="I17" i="3"/>
  <c r="Y20" i="5" s="1"/>
</calcChain>
</file>

<file path=xl/sharedStrings.xml><?xml version="1.0" encoding="utf-8"?>
<sst xmlns="http://schemas.openxmlformats.org/spreadsheetml/2006/main" count="1371" uniqueCount="805">
  <si>
    <t>Ne remplir que les cases grisées</t>
  </si>
  <si>
    <t>Mécanisme de jeu</t>
  </si>
  <si>
    <t>Joueurs</t>
  </si>
  <si>
    <t>Licence</t>
  </si>
  <si>
    <t>Stade de l'épreuve</t>
  </si>
  <si>
    <t>Mode de jeux</t>
  </si>
  <si>
    <t>Catégorie</t>
  </si>
  <si>
    <t>Lieu</t>
  </si>
  <si>
    <t>Date</t>
  </si>
  <si>
    <t>5 joueurs eliminatoire</t>
  </si>
  <si>
    <t>Responsable</t>
  </si>
  <si>
    <t>Quota</t>
  </si>
  <si>
    <t>LIBRE</t>
  </si>
  <si>
    <t>CADRE</t>
  </si>
  <si>
    <t>BANDE</t>
  </si>
  <si>
    <t>3 BANDES</t>
  </si>
  <si>
    <t>Eliminatoire 1er tour</t>
  </si>
  <si>
    <t>Ecrire le  numero de licence pour qu'apparaisse le nom et prenom du joueur</t>
  </si>
  <si>
    <t>Eliminatoire 2ème tour</t>
  </si>
  <si>
    <t>Eliminatoire 3ème tour</t>
  </si>
  <si>
    <t>a</t>
  </si>
  <si>
    <t>b</t>
  </si>
  <si>
    <t>c</t>
  </si>
  <si>
    <t>NATIONAL 1</t>
  </si>
  <si>
    <t>NATIONAL 2</t>
  </si>
  <si>
    <t>NATIONAL 3</t>
  </si>
  <si>
    <t>REGIONAL 1</t>
  </si>
  <si>
    <t>REGIONAL 2</t>
  </si>
  <si>
    <t>REGIONAL 3</t>
  </si>
  <si>
    <t>REGIONAL 4</t>
  </si>
  <si>
    <t xml:space="preserve">JUNIORS Régionaux </t>
  </si>
  <si>
    <t>4 BILLES</t>
  </si>
  <si>
    <t>libre</t>
  </si>
  <si>
    <t>bande</t>
  </si>
  <si>
    <t>cadre</t>
  </si>
  <si>
    <t>3 bandes</t>
  </si>
  <si>
    <t xml:space="preserve">Scenario tableau </t>
  </si>
  <si>
    <t>Moyenne intermediaire</t>
  </si>
  <si>
    <t>pts</t>
  </si>
  <si>
    <t>2 joueurs eliminatoire</t>
  </si>
  <si>
    <t>poule de 3</t>
  </si>
  <si>
    <t>p1</t>
  </si>
  <si>
    <t>p2</t>
  </si>
  <si>
    <t>N om</t>
  </si>
  <si>
    <t>rep</t>
  </si>
  <si>
    <t>s</t>
  </si>
  <si>
    <t>moy</t>
  </si>
  <si>
    <t>Pm</t>
  </si>
  <si>
    <t>3 joueurs eliminatoire</t>
  </si>
  <si>
    <t>v1</t>
  </si>
  <si>
    <t>3p1</t>
  </si>
  <si>
    <t>1p1</t>
  </si>
  <si>
    <t>v2</t>
  </si>
  <si>
    <t>4 joueurs Eliminatoire</t>
  </si>
  <si>
    <t>2p1</t>
  </si>
  <si>
    <t>Vip1</t>
  </si>
  <si>
    <t>Vip2</t>
  </si>
  <si>
    <t>Vip3</t>
  </si>
  <si>
    <t>Vip4</t>
  </si>
  <si>
    <t>Vip5</t>
  </si>
  <si>
    <t>Vip6</t>
  </si>
  <si>
    <t>4p1</t>
  </si>
  <si>
    <t>Classement final</t>
  </si>
  <si>
    <t>Tour n°1</t>
  </si>
  <si>
    <t>Tour n°2</t>
  </si>
  <si>
    <t>Tour n°3</t>
  </si>
  <si>
    <t>Pma</t>
  </si>
  <si>
    <t>reprises fin</t>
  </si>
  <si>
    <t>Part</t>
  </si>
  <si>
    <t>Moyenne</t>
  </si>
  <si>
    <t>Feuille de résultats</t>
  </si>
  <si>
    <t>Stade de l'épreuve:</t>
  </si>
  <si>
    <t>Mode de jeux:</t>
  </si>
  <si>
    <t>Lieu:</t>
  </si>
  <si>
    <t>Date:</t>
  </si>
  <si>
    <t>CLASS</t>
  </si>
  <si>
    <t>NOM</t>
  </si>
  <si>
    <t>Pts</t>
  </si>
  <si>
    <t>Rep</t>
  </si>
  <si>
    <t>Série</t>
  </si>
  <si>
    <t>FEDERATION FRANCAISE DE BILLARD</t>
  </si>
  <si>
    <t>CHAMPIONNATS INDIVIDUELS</t>
  </si>
  <si>
    <t>C.E.B.                 C.N.O.S.F.                 U.M.B.</t>
  </si>
  <si>
    <t>RESPONSABLE DE LIGUE</t>
  </si>
  <si>
    <t>Finale de l'Oise</t>
  </si>
  <si>
    <t>Mode de Jeu</t>
  </si>
  <si>
    <t>Finale de ligue</t>
  </si>
  <si>
    <t>Lieu de l'épreuve</t>
  </si>
  <si>
    <t>Finale de secteur</t>
  </si>
  <si>
    <t>Classe ment</t>
  </si>
  <si>
    <t>Nom - Prénom</t>
  </si>
  <si>
    <t>N° de licence</t>
  </si>
  <si>
    <t>Caram bole</t>
  </si>
  <si>
    <t>Rep rises</t>
  </si>
  <si>
    <t>M.G.</t>
  </si>
  <si>
    <t>M.P.</t>
  </si>
  <si>
    <t/>
  </si>
  <si>
    <t>Les joueurs déclarés forfaits doivent figurer dans ce cadre à la suite</t>
  </si>
  <si>
    <t>Nom et prénom du responsable de l'épreuve (en capitales)</t>
  </si>
  <si>
    <t xml:space="preserve">Qualité </t>
  </si>
  <si>
    <t>SIGNATURE</t>
  </si>
  <si>
    <t>TRES IMPORTANT</t>
  </si>
  <si>
    <t>Cette feuille, dûment remplie, doit être transmise au Responsable de ligue 48 heures au plus tard après la fin de l'épreuve.</t>
  </si>
  <si>
    <t>Elle doit impérativement être accompagnée du bordereau d'engagement dans la Finale de ligue du joueur qualifié et de son remplaçant.</t>
  </si>
  <si>
    <t xml:space="preserve">ATTENTION : Ne pas omettre d'indiquer le n° de licence de chacun des concurrents même déclarés forfaits </t>
  </si>
  <si>
    <t>C.E.B</t>
  </si>
  <si>
    <t>C.N.O.S.F.</t>
  </si>
  <si>
    <t>U.M.B.</t>
  </si>
  <si>
    <t>FEDERATION   FRANCAISE   DE   BILLARD</t>
  </si>
  <si>
    <t>Secrétariat Fédéral : 19 &amp; 21, Avenue Aristide Briand  -  BP 2202  -  03202 VICHY CEDEX</t>
  </si>
  <si>
    <t>Tél. : 04.70.96.01.01   -   Fax : 04.70.96.01.02</t>
  </si>
  <si>
    <t>BORDEREAU D'ENGAGEMENT</t>
  </si>
  <si>
    <t>Dans la Finale de :</t>
  </si>
  <si>
    <t>La feuille de résultats, dûment remplie, doit être adressée sous 48 heures au Responsable Sportif du Secteur ou le cas échéant au Secrétariat Fédéral, s'il n'y a pas de Finale de Secteur.</t>
  </si>
  <si>
    <t>Cette feuille, dûment remplie, doit être transmise au Secrétariat Fédéral 48 heures au plus tard après la fin de l'épreuve.</t>
  </si>
  <si>
    <t xml:space="preserve">Mode de jeu : </t>
  </si>
  <si>
    <t xml:space="preserve">  Catégorie :  </t>
  </si>
  <si>
    <r>
      <t>qui se disputera le :</t>
    </r>
    <r>
      <rPr>
        <sz val="11"/>
        <color indexed="8"/>
        <rFont val="Arial"/>
        <family val="2"/>
      </rPr>
      <t/>
    </r>
  </si>
  <si>
    <t xml:space="preserve">   à :  </t>
  </si>
  <si>
    <r>
      <t xml:space="preserve">1 ) </t>
    </r>
    <r>
      <rPr>
        <b/>
        <u/>
        <sz val="12"/>
        <color indexed="8"/>
        <rFont val="Arial"/>
        <family val="2"/>
      </rPr>
      <t>NOM &amp; Prénom du 1</t>
    </r>
    <r>
      <rPr>
        <b/>
        <u/>
        <vertAlign val="superscript"/>
        <sz val="12"/>
        <color indexed="8"/>
        <rFont val="Arial"/>
        <family val="2"/>
      </rPr>
      <t>er</t>
    </r>
    <r>
      <rPr>
        <b/>
        <u/>
        <sz val="12"/>
        <color indexed="8"/>
        <rFont val="Arial"/>
        <family val="2"/>
      </rPr>
      <t xml:space="preserve"> joueur</t>
    </r>
    <r>
      <rPr>
        <b/>
        <sz val="12"/>
        <color indexed="8"/>
        <rFont val="Arial"/>
        <family val="2"/>
      </rPr>
      <t xml:space="preserve"> : </t>
    </r>
  </si>
  <si>
    <t xml:space="preserve">  N° Licence :  </t>
  </si>
  <si>
    <r>
      <t xml:space="preserve">Club : </t>
    </r>
    <r>
      <rPr>
        <sz val="11"/>
        <color indexed="8"/>
        <rFont val="Arial"/>
        <family val="2"/>
      </rPr>
      <t/>
    </r>
  </si>
  <si>
    <t xml:space="preserve">  Moyenne Générale :  </t>
  </si>
  <si>
    <t>2 ) NOM &amp; Prénom du remplaçant :</t>
  </si>
  <si>
    <r>
      <t>Club</t>
    </r>
    <r>
      <rPr>
        <b/>
        <sz val="12"/>
        <color indexed="8"/>
        <rFont val="Arial"/>
        <family val="2"/>
      </rPr>
      <t xml:space="preserve"> : </t>
    </r>
    <r>
      <rPr>
        <sz val="11"/>
        <color indexed="8"/>
        <rFont val="Arial"/>
        <family val="2"/>
      </rPr>
      <t/>
    </r>
  </si>
  <si>
    <t>A:</t>
  </si>
  <si>
    <t>Le:</t>
  </si>
  <si>
    <t>Signature du premier joueur engagé :</t>
  </si>
  <si>
    <t>Nom en clair du responsable de l'épreuve :</t>
  </si>
  <si>
    <t>Signature :</t>
  </si>
  <si>
    <t>Signature du joueur remplaçant :</t>
  </si>
  <si>
    <t>013613P</t>
  </si>
  <si>
    <t>017988W</t>
  </si>
  <si>
    <t>020497J</t>
  </si>
  <si>
    <t>020498K</t>
  </si>
  <si>
    <t>020501N</t>
  </si>
  <si>
    <t>020531R</t>
  </si>
  <si>
    <t>020537X</t>
  </si>
  <si>
    <t>020553N</t>
  </si>
  <si>
    <t>020629L</t>
  </si>
  <si>
    <t>020632O</t>
  </si>
  <si>
    <t>020633P</t>
  </si>
  <si>
    <t>020691V</t>
  </si>
  <si>
    <t>020697B</t>
  </si>
  <si>
    <t>020698C</t>
  </si>
  <si>
    <t>020831F</t>
  </si>
  <si>
    <t>020851Z</t>
  </si>
  <si>
    <t>020853B</t>
  </si>
  <si>
    <t>020858G</t>
  </si>
  <si>
    <t>020886I</t>
  </si>
  <si>
    <t>020976U</t>
  </si>
  <si>
    <t>020981Z</t>
  </si>
  <si>
    <t>020992K</t>
  </si>
  <si>
    <t>021068I</t>
  </si>
  <si>
    <t>021069J</t>
  </si>
  <si>
    <t>021196G</t>
  </si>
  <si>
    <t>021266Y</t>
  </si>
  <si>
    <t>102549F</t>
  </si>
  <si>
    <t>102552I</t>
  </si>
  <si>
    <t>105804K</t>
  </si>
  <si>
    <t>107938M</t>
  </si>
  <si>
    <t>110380K</t>
  </si>
  <si>
    <t>112083X</t>
  </si>
  <si>
    <t>112106U</t>
  </si>
  <si>
    <t>114841Z</t>
  </si>
  <si>
    <t>122848Y</t>
  </si>
  <si>
    <t>123293B</t>
  </si>
  <si>
    <t>123333P</t>
  </si>
  <si>
    <t>125789B</t>
  </si>
  <si>
    <t>125793F</t>
  </si>
  <si>
    <t>129414M</t>
  </si>
  <si>
    <t>132324K</t>
  </si>
  <si>
    <t>134400G</t>
  </si>
  <si>
    <t>134452G</t>
  </si>
  <si>
    <t>134455J</t>
  </si>
  <si>
    <t>135646E</t>
  </si>
  <si>
    <t>137516C</t>
  </si>
  <si>
    <t>137517D</t>
  </si>
  <si>
    <t>137521H</t>
  </si>
  <si>
    <t>137525L</t>
  </si>
  <si>
    <t>137526M</t>
  </si>
  <si>
    <t>137802C</t>
  </si>
  <si>
    <t>138399B</t>
  </si>
  <si>
    <t>140114A</t>
  </si>
  <si>
    <t>140121H</t>
  </si>
  <si>
    <t>140292W</t>
  </si>
  <si>
    <t>140557B</t>
  </si>
  <si>
    <t>142320W</t>
  </si>
  <si>
    <t>142324A</t>
  </si>
  <si>
    <t>142333J</t>
  </si>
  <si>
    <t>142861R</t>
  </si>
  <si>
    <t>142862S</t>
  </si>
  <si>
    <t>142863T</t>
  </si>
  <si>
    <t>143116M</t>
  </si>
  <si>
    <t>143761H</t>
  </si>
  <si>
    <t>144708S</t>
  </si>
  <si>
    <t>144722G</t>
  </si>
  <si>
    <t>144727L</t>
  </si>
  <si>
    <t>144730O</t>
  </si>
  <si>
    <t>145427J</t>
  </si>
  <si>
    <t>146280E</t>
  </si>
  <si>
    <t>146418M</t>
  </si>
  <si>
    <t>146494K</t>
  </si>
  <si>
    <t>147147S</t>
  </si>
  <si>
    <t>147291Z</t>
  </si>
  <si>
    <t>147413G</t>
  </si>
  <si>
    <t>147414H</t>
  </si>
  <si>
    <t>147723T</t>
  </si>
  <si>
    <t>148999F</t>
  </si>
  <si>
    <t>149410C</t>
  </si>
  <si>
    <t>149815S</t>
  </si>
  <si>
    <t>150677E</t>
  </si>
  <si>
    <t>151796W</t>
  </si>
  <si>
    <t>152140V</t>
  </si>
  <si>
    <t>152910G</t>
  </si>
  <si>
    <t>153596C</t>
  </si>
  <si>
    <t>155214L</t>
  </si>
  <si>
    <t>155562P</t>
  </si>
  <si>
    <t>155563Q</t>
  </si>
  <si>
    <t>156704F</t>
  </si>
  <si>
    <t>156823K</t>
  </si>
  <si>
    <t>158140R</t>
  </si>
  <si>
    <t>159833G</t>
  </si>
  <si>
    <t>157672H</t>
  </si>
  <si>
    <t>LIGUE : HAUTS DE FRANCE</t>
  </si>
  <si>
    <t>Remarques éventuelles        -     Nom, prénom et signature du responsable</t>
  </si>
  <si>
    <t>B.C CREVECOEUR</t>
  </si>
  <si>
    <t>A.S BEAUVAIS</t>
  </si>
  <si>
    <t>B.C MONTATAIRE</t>
  </si>
  <si>
    <t>B.C SENLIS</t>
  </si>
  <si>
    <t>B.C GOUVIEUX</t>
  </si>
  <si>
    <t>B.C LIANCOURTOIS</t>
  </si>
  <si>
    <t>B.C MERUVIEN</t>
  </si>
  <si>
    <t>B.C MONTREUIL/BRECHE</t>
  </si>
  <si>
    <t>B.C CHAMBLYSIEN</t>
  </si>
  <si>
    <t>B.C SAINT JUST EN CHAUSSEE</t>
  </si>
  <si>
    <t>U.S VILLERS SAINT PAUL</t>
  </si>
  <si>
    <t>B.C CREPY EN VALOIS</t>
  </si>
  <si>
    <t>Masters</t>
  </si>
  <si>
    <t>JUNIORS (U21)</t>
  </si>
  <si>
    <t>CADETS (U17)</t>
  </si>
  <si>
    <t>MINIMES</t>
  </si>
  <si>
    <t>CADETS Régionaux</t>
  </si>
  <si>
    <t>DAME NATIONAL</t>
  </si>
  <si>
    <t>DAME REGIONAL</t>
  </si>
  <si>
    <t>BC SENLIS</t>
  </si>
  <si>
    <t>A S BEAUVAIS</t>
  </si>
  <si>
    <t>102510S</t>
  </si>
  <si>
    <t>123338U</t>
  </si>
  <si>
    <t>145645T</t>
  </si>
  <si>
    <t>148820L</t>
  </si>
  <si>
    <t>153243T</t>
  </si>
  <si>
    <t>153485G</t>
  </si>
  <si>
    <t>156585B</t>
  </si>
  <si>
    <t>157875D</t>
  </si>
  <si>
    <t>158043L</t>
  </si>
  <si>
    <t>158253P</t>
  </si>
  <si>
    <t>158459N</t>
  </si>
  <si>
    <t>158565D</t>
  </si>
  <si>
    <t>159215K</t>
  </si>
  <si>
    <t>159301D</t>
  </si>
  <si>
    <t>160887C</t>
  </si>
  <si>
    <t>161559H</t>
  </si>
  <si>
    <t>162627T</t>
  </si>
  <si>
    <t>162821E</t>
  </si>
  <si>
    <t>162823G</t>
  </si>
  <si>
    <t>162824H</t>
  </si>
  <si>
    <t>163830B</t>
  </si>
  <si>
    <t>164108D</t>
  </si>
  <si>
    <t>165308H</t>
  </si>
  <si>
    <t>165883H</t>
  </si>
  <si>
    <t>165891R</t>
  </si>
  <si>
    <t>166321J</t>
  </si>
  <si>
    <t>166322K</t>
  </si>
  <si>
    <t>166323L</t>
  </si>
  <si>
    <t>166343H</t>
  </si>
  <si>
    <t>S'il n'apparait pas verifier le numero dans l'onglet licenciés ou ecrirvez son nom</t>
  </si>
  <si>
    <t>LICENCE</t>
  </si>
  <si>
    <t>CLUB</t>
  </si>
  <si>
    <t>N° Club</t>
  </si>
  <si>
    <t>159835J</t>
  </si>
  <si>
    <t>168123S</t>
  </si>
  <si>
    <t>107929D</t>
  </si>
  <si>
    <t>167623Z</t>
  </si>
  <si>
    <t>020799Z</t>
  </si>
  <si>
    <t>020877Z</t>
  </si>
  <si>
    <t>139231B</t>
  </si>
  <si>
    <t>145382Q</t>
  </si>
  <si>
    <t>167116Y</t>
  </si>
  <si>
    <t>020552M</t>
  </si>
  <si>
    <t>144710U</t>
  </si>
  <si>
    <t>166940G</t>
  </si>
  <si>
    <t>020749B</t>
  </si>
  <si>
    <t>166552K</t>
  </si>
  <si>
    <t>167128L</t>
  </si>
  <si>
    <t>153280J</t>
  </si>
  <si>
    <t>156458N</t>
  </si>
  <si>
    <t>020529P</t>
  </si>
  <si>
    <t>123328K</t>
  </si>
  <si>
    <t>105814U</t>
  </si>
  <si>
    <t>107933H</t>
  </si>
  <si>
    <t>020665V</t>
  </si>
  <si>
    <t>BC GOUVIEUX</t>
  </si>
  <si>
    <t>BC CREPY EN VALOIS</t>
  </si>
  <si>
    <t>BCM CHAMBLYSIEN</t>
  </si>
  <si>
    <t>BC CREVECOEUR</t>
  </si>
  <si>
    <t>BC LIANCOURTOIS</t>
  </si>
  <si>
    <t>BC MERUVIEN</t>
  </si>
  <si>
    <t>BC VILLERS St PAUL</t>
  </si>
  <si>
    <t>169522N</t>
  </si>
  <si>
    <t>169317Q</t>
  </si>
  <si>
    <t>170890A</t>
  </si>
  <si>
    <t>169366T</t>
  </si>
  <si>
    <t>170289X</t>
  </si>
  <si>
    <t>171180Q</t>
  </si>
  <si>
    <t>170738K</t>
  </si>
  <si>
    <t>171067S</t>
  </si>
  <si>
    <t>013403N</t>
  </si>
  <si>
    <t>170636Z</t>
  </si>
  <si>
    <t>169126H</t>
  </si>
  <si>
    <t>170318D</t>
  </si>
  <si>
    <t>171286F</t>
  </si>
  <si>
    <t>170244Y</t>
  </si>
  <si>
    <t>170245Z</t>
  </si>
  <si>
    <t>168788Q</t>
  </si>
  <si>
    <t>021059Z</t>
  </si>
  <si>
    <t>129419R</t>
  </si>
  <si>
    <r>
      <t xml:space="preserve">Il est indispensable d'enregistrer les résultats sur </t>
    </r>
    <r>
      <rPr>
        <b/>
        <u/>
        <sz val="14"/>
        <color indexed="8"/>
        <rFont val="Arial Narrow"/>
        <family val="2"/>
      </rPr>
      <t>FFBSPORTIF</t>
    </r>
    <r>
      <rPr>
        <sz val="14"/>
        <color indexed="8"/>
        <rFont val="Arial Narrow"/>
        <family val="2"/>
      </rPr>
      <t xml:space="preserve"> en vous aidant du lien ci-dessous</t>
    </r>
  </si>
  <si>
    <t>https://www.telemat.org/FFBI/sif/</t>
  </si>
  <si>
    <t>176443L</t>
  </si>
  <si>
    <t>173575T</t>
  </si>
  <si>
    <t>172575G</t>
  </si>
  <si>
    <t>176040Y</t>
  </si>
  <si>
    <t>176044C</t>
  </si>
  <si>
    <t>176256H</t>
  </si>
  <si>
    <t>112099N</t>
  </si>
  <si>
    <t>173459S</t>
  </si>
  <si>
    <t>175309D</t>
  </si>
  <si>
    <t>176391E</t>
  </si>
  <si>
    <t>125794G</t>
  </si>
  <si>
    <t>173856Z</t>
  </si>
  <si>
    <t>175773H</t>
  </si>
  <si>
    <t>176146N</t>
  </si>
  <si>
    <t>175180N</t>
  </si>
  <si>
    <t>174539R</t>
  </si>
  <si>
    <t>176045D</t>
  </si>
  <si>
    <t>174086Z</t>
  </si>
  <si>
    <t>174494S</t>
  </si>
  <si>
    <t>174255H</t>
  </si>
  <si>
    <t>174013V</t>
  </si>
  <si>
    <t>173639N</t>
  </si>
  <si>
    <t>174449T</t>
  </si>
  <si>
    <t>176147P</t>
  </si>
  <si>
    <t>175987Q</t>
  </si>
  <si>
    <t>122257F</t>
  </si>
  <si>
    <t>177282Y</t>
  </si>
  <si>
    <t>020818S</t>
  </si>
  <si>
    <t>177151F</t>
  </si>
  <si>
    <t>177009B</t>
  </si>
  <si>
    <t>151822Z</t>
  </si>
  <si>
    <t>105529V</t>
  </si>
  <si>
    <t>104115L</t>
  </si>
  <si>
    <t>Joueur</t>
  </si>
  <si>
    <t>Points</t>
  </si>
  <si>
    <t>Reprises</t>
  </si>
  <si>
    <t>Pts Match</t>
  </si>
  <si>
    <t>-</t>
  </si>
  <si>
    <r>
      <t xml:space="preserve">         </t>
    </r>
    <r>
      <rPr>
        <b/>
        <u/>
        <sz val="14"/>
        <color indexed="8"/>
        <rFont val="Arial"/>
        <family val="2"/>
      </rPr>
      <t>Feuille de transmission des résultats techniques</t>
    </r>
  </si>
  <si>
    <t>Directeur de Jeu</t>
  </si>
  <si>
    <t>Adresse mail du joueur</t>
  </si>
  <si>
    <r>
      <t xml:space="preserve">Le présent bordereau doit être rempli entièrement et lisiblement, puis </t>
    </r>
    <r>
      <rPr>
        <b/>
        <sz val="11"/>
        <color indexed="8"/>
        <rFont val="Arial"/>
        <family val="2"/>
      </rPr>
      <t>adressé au Responsable de Ligue i</t>
    </r>
    <r>
      <rPr>
        <sz val="11"/>
        <color indexed="8"/>
        <rFont val="Arial"/>
        <family val="2"/>
      </rPr>
      <t xml:space="preserve">mmédiatement après l'épreuve et </t>
    </r>
    <r>
      <rPr>
        <b/>
        <u/>
        <sz val="11"/>
        <color indexed="8"/>
        <rFont val="Arial"/>
        <family val="2"/>
      </rPr>
      <t>au plus tard dans les 48 heures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suivant la compétition. Passé ce délai, les engagements ne seront plus acceptés.</t>
    </r>
  </si>
  <si>
    <r>
      <t xml:space="preserve"> </t>
    </r>
    <r>
      <rPr>
        <b/>
        <i/>
        <u/>
        <sz val="18"/>
        <color indexed="8"/>
        <rFont val="Arial"/>
        <family val="2"/>
      </rPr>
      <t>Attention</t>
    </r>
    <r>
      <rPr>
        <i/>
        <sz val="18"/>
        <color indexed="8"/>
        <rFont val="Arial"/>
        <family val="2"/>
      </rPr>
      <t xml:space="preserve"> :</t>
    </r>
  </si>
  <si>
    <r>
      <t>NB :</t>
    </r>
    <r>
      <rPr>
        <sz val="16"/>
        <color indexed="8"/>
        <rFont val="Arial"/>
        <family val="2"/>
      </rPr>
      <t xml:space="preserve"> </t>
    </r>
    <r>
      <rPr>
        <i/>
        <sz val="16"/>
        <color indexed="8"/>
        <rFont val="Arial"/>
        <family val="2"/>
      </rPr>
      <t>Ne doivent être mentionnés sur cette feuille que les joueurs décidés à poursuivre l'épreuve.</t>
    </r>
  </si>
  <si>
    <r>
      <t xml:space="preserve">Ce bordereau doit être </t>
    </r>
    <r>
      <rPr>
        <sz val="16"/>
        <color indexed="8"/>
        <rFont val="Arial"/>
        <family val="2"/>
      </rPr>
      <t>impérativement accompagné</t>
    </r>
    <r>
      <rPr>
        <b/>
        <sz val="16"/>
        <color indexed="8"/>
        <rFont val="Arial"/>
        <family val="2"/>
      </rPr>
      <t xml:space="preserve"> </t>
    </r>
    <r>
      <rPr>
        <sz val="16"/>
        <color indexed="8"/>
        <rFont val="Arial"/>
        <family val="2"/>
      </rPr>
      <t>de la feuille de résultats de la Finale départementale</t>
    </r>
  </si>
  <si>
    <t>179298P</t>
  </si>
  <si>
    <t>135211L</t>
  </si>
  <si>
    <t>180653M</t>
  </si>
  <si>
    <t>178480A</t>
  </si>
  <si>
    <t>179567G</t>
  </si>
  <si>
    <t>013512S</t>
  </si>
  <si>
    <t>148139W</t>
  </si>
  <si>
    <t>179569J</t>
  </si>
  <si>
    <t>179739T</t>
  </si>
  <si>
    <t>179568H</t>
  </si>
  <si>
    <t>178371G</t>
  </si>
  <si>
    <t>132318E</t>
  </si>
  <si>
    <t>179836Z</t>
  </si>
  <si>
    <t>177011D</t>
  </si>
  <si>
    <t>177012E</t>
  </si>
  <si>
    <t>177560A</t>
  </si>
  <si>
    <t>179107G</t>
  </si>
  <si>
    <t>177010C</t>
  </si>
  <si>
    <t>173871Q</t>
  </si>
  <si>
    <t>BC SAINT JUSTOIS</t>
  </si>
  <si>
    <t>178895B</t>
  </si>
  <si>
    <t>179219D</t>
  </si>
  <si>
    <t>177331B</t>
  </si>
  <si>
    <t>177333D</t>
  </si>
  <si>
    <t>177332C</t>
  </si>
  <si>
    <t>177525M</t>
  </si>
  <si>
    <t>174298E</t>
  </si>
  <si>
    <t>177976C</t>
  </si>
  <si>
    <t>180204Z</t>
  </si>
  <si>
    <t>013119P</t>
  </si>
  <si>
    <t>176974N</t>
  </si>
  <si>
    <t>176973M</t>
  </si>
  <si>
    <t>143057F</t>
  </si>
  <si>
    <t>113840M</t>
  </si>
  <si>
    <t>178243S</t>
  </si>
  <si>
    <t>180531E</t>
  </si>
  <si>
    <t>176975P</t>
  </si>
  <si>
    <t>177280W</t>
  </si>
  <si>
    <t>179145Y</t>
  </si>
  <si>
    <t>106751V</t>
  </si>
  <si>
    <t>181272K</t>
  </si>
  <si>
    <t>181568G</t>
  </si>
  <si>
    <t>020493F</t>
  </si>
  <si>
    <t>181569H</t>
  </si>
  <si>
    <t>169135S</t>
  </si>
  <si>
    <t>182060R</t>
  </si>
  <si>
    <t>181244E</t>
  </si>
  <si>
    <t>114833R</t>
  </si>
  <si>
    <t>132328O</t>
  </si>
  <si>
    <t>183294H</t>
  </si>
  <si>
    <t>181711M</t>
  </si>
  <si>
    <t>BIZET AIME</t>
  </si>
  <si>
    <t>BOUTON GERARD</t>
  </si>
  <si>
    <t>182484C</t>
  </si>
  <si>
    <t>BROUSSAS ALAIN</t>
  </si>
  <si>
    <t>CHAUCHAT JEAN LUC</t>
  </si>
  <si>
    <t>CREDOT GERALD</t>
  </si>
  <si>
    <t>CUNIN ELODIE</t>
  </si>
  <si>
    <t>CUNIN MICKAEL</t>
  </si>
  <si>
    <t>DESCAMPS MICHEL</t>
  </si>
  <si>
    <t>DOUBLET ROLAND</t>
  </si>
  <si>
    <t>FAREZ MICHEL</t>
  </si>
  <si>
    <t>FERRET ANTONY</t>
  </si>
  <si>
    <t>FRANCOIS PASCAL</t>
  </si>
  <si>
    <t>180652L</t>
  </si>
  <si>
    <t>GERARD ETHAN</t>
  </si>
  <si>
    <t>GERARD MICKAEL</t>
  </si>
  <si>
    <t>HERTOUX DIDIER</t>
  </si>
  <si>
    <t>HOURCADE GERARD</t>
  </si>
  <si>
    <t>ISSELIN EMILE</t>
  </si>
  <si>
    <t>LAROCHE FABIEN</t>
  </si>
  <si>
    <t>LE PLARD YVES</t>
  </si>
  <si>
    <t>LEFEBVRE MOISE</t>
  </si>
  <si>
    <t>MICHEL BERNARD</t>
  </si>
  <si>
    <t>MOUTIN DOMINIQUE</t>
  </si>
  <si>
    <t>OLIVEIRA JOSE</t>
  </si>
  <si>
    <t>PELLETIER STEEVE</t>
  </si>
  <si>
    <t>POILLY SERGE</t>
  </si>
  <si>
    <t>POIX JEAN FRANCOIS</t>
  </si>
  <si>
    <t>PORQUIER GERARD</t>
  </si>
  <si>
    <t>POUTIER DIDIER</t>
  </si>
  <si>
    <t>SOYEZ REYNALD</t>
  </si>
  <si>
    <t>TROJANI PHILIPPE</t>
  </si>
  <si>
    <t>VASSEUR YANNICK</t>
  </si>
  <si>
    <t>ZANOTTI MICHEL</t>
  </si>
  <si>
    <t>184043X</t>
  </si>
  <si>
    <t>BELLEMERE GERARD</t>
  </si>
  <si>
    <t>BOZON ROBERT</t>
  </si>
  <si>
    <t>CAUDRON PIERRE</t>
  </si>
  <si>
    <t>CHARLES DOMINIQUE</t>
  </si>
  <si>
    <t>185388J</t>
  </si>
  <si>
    <t>CHARLES ISABELLE</t>
  </si>
  <si>
    <t>182156W</t>
  </si>
  <si>
    <t>CHARLES YANN</t>
  </si>
  <si>
    <t>163816L</t>
  </si>
  <si>
    <t>CULLATI FABIEN</t>
  </si>
  <si>
    <t>181271J</t>
  </si>
  <si>
    <t>DAVID MELISSA</t>
  </si>
  <si>
    <t>182236H</t>
  </si>
  <si>
    <t>DE ALEGRIA ANTONIO</t>
  </si>
  <si>
    <t>FARAGUET MICHEL</t>
  </si>
  <si>
    <t>FAURE STEPHANE</t>
  </si>
  <si>
    <t>FELLINE RICCARDO</t>
  </si>
  <si>
    <t>GILLOT CHRISTOPHER</t>
  </si>
  <si>
    <t>172151W</t>
  </si>
  <si>
    <t>GIRAUDON JEAN PIERRE</t>
  </si>
  <si>
    <t>GUERIN LUCAS</t>
  </si>
  <si>
    <t>181381D</t>
  </si>
  <si>
    <t>HOUET CATHERINE</t>
  </si>
  <si>
    <t>181379B</t>
  </si>
  <si>
    <t>HOUET THIERRY</t>
  </si>
  <si>
    <t>JOLIVET JEAN</t>
  </si>
  <si>
    <t>185111H</t>
  </si>
  <si>
    <t>JOST CHRISTIAN</t>
  </si>
  <si>
    <t>LE FRIEC DANIEL</t>
  </si>
  <si>
    <t>LE ROUX MARC</t>
  </si>
  <si>
    <t>LEBOUCHER PASCAL</t>
  </si>
  <si>
    <t>LECHAT STEPHANE</t>
  </si>
  <si>
    <t>LEFEBVRE GERARD</t>
  </si>
  <si>
    <t>179566F</t>
  </si>
  <si>
    <t>LEGRAND ADRIEN</t>
  </si>
  <si>
    <t>LIZEUX CLAISSE PIERRE</t>
  </si>
  <si>
    <t>MANCUSO LEO</t>
  </si>
  <si>
    <t>MARTIN DENIS</t>
  </si>
  <si>
    <t>MIGLIASSO JEAN PIERRE</t>
  </si>
  <si>
    <t>MIKLASEWICZ VIVIEN</t>
  </si>
  <si>
    <t>184385T</t>
  </si>
  <si>
    <t>MILANDRI CYRIL</t>
  </si>
  <si>
    <t>MONTI RENATO</t>
  </si>
  <si>
    <t>PAILLART JEAN LUC</t>
  </si>
  <si>
    <t>PAUCELLIER PATRICK</t>
  </si>
  <si>
    <t>147148T</t>
  </si>
  <si>
    <t>PIERRE MICHEL</t>
  </si>
  <si>
    <t>POINSOT CLEMENT</t>
  </si>
  <si>
    <t>POURTOULES GERARD</t>
  </si>
  <si>
    <t>STUM PIERRE</t>
  </si>
  <si>
    <t>TESTE OLIVIER</t>
  </si>
  <si>
    <t>TOLLET MICHEL</t>
  </si>
  <si>
    <t>WALTON ANTHONY</t>
  </si>
  <si>
    <t>182017V</t>
  </si>
  <si>
    <t>WILK SERGE</t>
  </si>
  <si>
    <t>ANSELIN PATRICK</t>
  </si>
  <si>
    <t>BILLY DAVID</t>
  </si>
  <si>
    <t>COUPLET SEBASTIEN</t>
  </si>
  <si>
    <t>COUPLET VALENTIN</t>
  </si>
  <si>
    <t>DENIZART JOSE</t>
  </si>
  <si>
    <t>DUBAIL CHRISTIAN</t>
  </si>
  <si>
    <t>DUVAL RAYMOND</t>
  </si>
  <si>
    <t>FORRET ALAIN</t>
  </si>
  <si>
    <t>GEFFROY FLORENT</t>
  </si>
  <si>
    <t>VERFAILLIE DAMIEN</t>
  </si>
  <si>
    <t>VERFAILLIE MATHIEU</t>
  </si>
  <si>
    <t>WYNHANT ALAIN</t>
  </si>
  <si>
    <t>AJALBERT ALAIN</t>
  </si>
  <si>
    <t>AKNOUCHE DOMINIQUE</t>
  </si>
  <si>
    <t>ALAMOME JEAN LUC</t>
  </si>
  <si>
    <t>182067Z</t>
  </si>
  <si>
    <t>AUBARD ALAIN</t>
  </si>
  <si>
    <t>BARRY BRIGITTE</t>
  </si>
  <si>
    <t>BERTRAND FREDERIC</t>
  </si>
  <si>
    <t>182153S</t>
  </si>
  <si>
    <t>BOICHU DANIEL</t>
  </si>
  <si>
    <t>BOURGOGNE CLAUDE</t>
  </si>
  <si>
    <t>CARRE ALAIN</t>
  </si>
  <si>
    <t>CASTAGNIE CHRISTIAN</t>
  </si>
  <si>
    <t>CHESNAIS JACQUES</t>
  </si>
  <si>
    <t>183411K</t>
  </si>
  <si>
    <t>CLEUET DANIEL</t>
  </si>
  <si>
    <t>DANIEL ROBERT</t>
  </si>
  <si>
    <t>DE DONCKER RICHARD</t>
  </si>
  <si>
    <t>DEMEULLE GUY</t>
  </si>
  <si>
    <t>182761D</t>
  </si>
  <si>
    <t>DENIS ANDRE</t>
  </si>
  <si>
    <t>DOURGES CHRISTIAN</t>
  </si>
  <si>
    <t>FEZELOT BERNARD</t>
  </si>
  <si>
    <t>FOURNIER JEAN FRANCOIS</t>
  </si>
  <si>
    <t>182068A</t>
  </si>
  <si>
    <t>GREUIN OLIVIER</t>
  </si>
  <si>
    <t>HAGER JAMES</t>
  </si>
  <si>
    <t>183645P</t>
  </si>
  <si>
    <t>HERBERT JEAN SERGE</t>
  </si>
  <si>
    <t>LAFONT CHRISTOPHE</t>
  </si>
  <si>
    <t>LAFONT LUC</t>
  </si>
  <si>
    <t>LAMARQUE YVES</t>
  </si>
  <si>
    <t>LE CERF PHILIPPE</t>
  </si>
  <si>
    <t>LE MAIRE PATRICK</t>
  </si>
  <si>
    <t>LIS MARCEL</t>
  </si>
  <si>
    <t>MARIE DANIEL</t>
  </si>
  <si>
    <t>MASSON DANIEL</t>
  </si>
  <si>
    <t>MAUCHAUFFE PATRICK</t>
  </si>
  <si>
    <t>MOREAU CLAUDE</t>
  </si>
  <si>
    <t>MOUTTE JEAN PIERRE</t>
  </si>
  <si>
    <t>PERPETTE SEBASTIEN</t>
  </si>
  <si>
    <t>RASPAIL CHRISTIAN</t>
  </si>
  <si>
    <t>ROBIN YVES</t>
  </si>
  <si>
    <t>SCOHY MICHEL</t>
  </si>
  <si>
    <t>SUARD LIONEL</t>
  </si>
  <si>
    <t>184645B</t>
  </si>
  <si>
    <t>WACHS GILBERT</t>
  </si>
  <si>
    <t>ZALMANOVIER JEAN PIERRE</t>
  </si>
  <si>
    <t>COTTEREAU MICHEL</t>
  </si>
  <si>
    <t>152814 C</t>
  </si>
  <si>
    <t>COURTOIS MICHEL</t>
  </si>
  <si>
    <t>181469Z</t>
  </si>
  <si>
    <t>DELACHAPELLE MOREL JEAN FRANCOIS</t>
  </si>
  <si>
    <t>181471B</t>
  </si>
  <si>
    <t>FOURNET GABRIEL</t>
  </si>
  <si>
    <t>FRIDAULT JACQUES</t>
  </si>
  <si>
    <t>GUERIN DOMINIQUE</t>
  </si>
  <si>
    <t>IDASIAK EUGENE</t>
  </si>
  <si>
    <t>MENGUAL JOACHIM</t>
  </si>
  <si>
    <t>MICHEL GERARD</t>
  </si>
  <si>
    <t>PEREZ GERARD</t>
  </si>
  <si>
    <t>PICART ALAIN</t>
  </si>
  <si>
    <t>PORTIER ROBERT</t>
  </si>
  <si>
    <t>RABINEAU YVES</t>
  </si>
  <si>
    <t>181470A</t>
  </si>
  <si>
    <t>SAMAT CLAUDE</t>
  </si>
  <si>
    <t>181468Y</t>
  </si>
  <si>
    <t>VAAST GERARD</t>
  </si>
  <si>
    <t>VAILLANT CLAUDE</t>
  </si>
  <si>
    <t>VAN WYNENDAELE PIERRE</t>
  </si>
  <si>
    <t>VERMEILLE JEAN MICHEL</t>
  </si>
  <si>
    <t>BARTHONNET DIDIER</t>
  </si>
  <si>
    <t>BEAUJOUR THIERRY</t>
  </si>
  <si>
    <t>BEAUMER DANIEL</t>
  </si>
  <si>
    <t>BICHON BERNARD</t>
  </si>
  <si>
    <t>BIENAIME ERIC</t>
  </si>
  <si>
    <t>BOURESCHE ALAIN</t>
  </si>
  <si>
    <t>CASTANER GEORGES</t>
  </si>
  <si>
    <t>DAVID MICHEL</t>
  </si>
  <si>
    <t>DRIDI PATRICE</t>
  </si>
  <si>
    <t>DURLEWANGER DIDIER</t>
  </si>
  <si>
    <t>183244D</t>
  </si>
  <si>
    <t>GOUFFE JACKY</t>
  </si>
  <si>
    <t>HEUDE LUDOVIC</t>
  </si>
  <si>
    <t>HUQUELEUX PATRICK</t>
  </si>
  <si>
    <t>LACHOQUE DANIEL</t>
  </si>
  <si>
    <t>LANGERAERT ALAIN</t>
  </si>
  <si>
    <t>LEGUESCLOU PATRICE</t>
  </si>
  <si>
    <t>LENGAIGNE DANIEL</t>
  </si>
  <si>
    <t>LIEVENS BERNARD</t>
  </si>
  <si>
    <t>RAFFY ALAIN</t>
  </si>
  <si>
    <t>ROUSSEL LOUKA</t>
  </si>
  <si>
    <t>SOYER ROGER</t>
  </si>
  <si>
    <t>URDIALES ANDRE</t>
  </si>
  <si>
    <t>VANDEPUTTE LAURENT</t>
  </si>
  <si>
    <t>ALEXANIAN JOEL</t>
  </si>
  <si>
    <t>BAROUX CHRISTOPHE</t>
  </si>
  <si>
    <t>166737L</t>
  </si>
  <si>
    <t>BECART PAULINE</t>
  </si>
  <si>
    <t>BESSE VIRGINIE</t>
  </si>
  <si>
    <t>BOLAND NOEL</t>
  </si>
  <si>
    <t>COLLARD BRUNO</t>
  </si>
  <si>
    <t>DELAFORGE PASCAL</t>
  </si>
  <si>
    <t>FARAND DIDIER</t>
  </si>
  <si>
    <t>FAUCON JEAN LUC</t>
  </si>
  <si>
    <t>GONTARCZYK GUY</t>
  </si>
  <si>
    <t>HENWOOD PHILIPPE</t>
  </si>
  <si>
    <t>LANGLOIS JEAN PIERRE</t>
  </si>
  <si>
    <t>LAVALLEE DOMINIQUE</t>
  </si>
  <si>
    <t>LETREUILLE PAUL</t>
  </si>
  <si>
    <t>MERCIER GUY</t>
  </si>
  <si>
    <t>POTIER LAURENT</t>
  </si>
  <si>
    <t>164975W</t>
  </si>
  <si>
    <t>POTIER SOPHIE</t>
  </si>
  <si>
    <t>181745Z</t>
  </si>
  <si>
    <t>SERET RENE</t>
  </si>
  <si>
    <t>SMIRO JEAN PIERRE</t>
  </si>
  <si>
    <t>VALADE FREDERIC</t>
  </si>
  <si>
    <t>VINET CLAUDE</t>
  </si>
  <si>
    <t>182059Q</t>
  </si>
  <si>
    <t>ANDRES PIERRE</t>
  </si>
  <si>
    <t>AVOT JOEL</t>
  </si>
  <si>
    <t>AZRIA AARON</t>
  </si>
  <si>
    <t>AZRIA BENJAMIN</t>
  </si>
  <si>
    <t>AZRIA SARAH</t>
  </si>
  <si>
    <t>BARBE CASSANDRA</t>
  </si>
  <si>
    <t>177869L</t>
  </si>
  <si>
    <t>BARBE CLARA</t>
  </si>
  <si>
    <t>BARBE HINATA</t>
  </si>
  <si>
    <t>BARBE LOGAN</t>
  </si>
  <si>
    <t>BARBE PHILIPPE</t>
  </si>
  <si>
    <t>BARTHON PRIAM</t>
  </si>
  <si>
    <t>BARTHON RUBBEN</t>
  </si>
  <si>
    <t>BEGAUD DOMINIQUE</t>
  </si>
  <si>
    <t>175076A</t>
  </si>
  <si>
    <t>BENESSIANO ERIC</t>
  </si>
  <si>
    <t>BOITEL SOPHIE</t>
  </si>
  <si>
    <t>BOUIGES ARMELLE</t>
  </si>
  <si>
    <t>BROCHART CHRISTIAN</t>
  </si>
  <si>
    <t>BROCHET ROBERT</t>
  </si>
  <si>
    <t>CARDOEN PIERRE</t>
  </si>
  <si>
    <t>182448N</t>
  </si>
  <si>
    <t>CARDON SANDRINE</t>
  </si>
  <si>
    <t>CATELOY CLAUDE</t>
  </si>
  <si>
    <t>CLAUX ALAIN</t>
  </si>
  <si>
    <t>179306Y</t>
  </si>
  <si>
    <t>COPEAU THIMOTHE</t>
  </si>
  <si>
    <t>179305 X</t>
  </si>
  <si>
    <t>COPEAU ZOE</t>
  </si>
  <si>
    <t>DE MALET BENOIT</t>
  </si>
  <si>
    <t>DESAINT ETIENNE</t>
  </si>
  <si>
    <t>DESCLAIR GUY</t>
  </si>
  <si>
    <t>182449P</t>
  </si>
  <si>
    <t>DOMINGUES THOMAS</t>
  </si>
  <si>
    <t>DOTAL BERNARD</t>
  </si>
  <si>
    <t>182466H</t>
  </si>
  <si>
    <t>EGOT JOELLE</t>
  </si>
  <si>
    <t>GRASSIN D ALFONSE HENRI</t>
  </si>
  <si>
    <t>183631Z</t>
  </si>
  <si>
    <t>HONLET MARC</t>
  </si>
  <si>
    <t>JOSSELIN WILLIAM</t>
  </si>
  <si>
    <t>LECLERE PAUL</t>
  </si>
  <si>
    <t>LEGULLUCHE GILLES</t>
  </si>
  <si>
    <t>LEROY FABRICE</t>
  </si>
  <si>
    <t>LORGE THIERRY</t>
  </si>
  <si>
    <t>MAGGIAR PASCAL</t>
  </si>
  <si>
    <t>MARCEAU JEROME</t>
  </si>
  <si>
    <t>MASSARD PATRICK</t>
  </si>
  <si>
    <t>MONNIOT NICOLAS</t>
  </si>
  <si>
    <t>MORGAN DE RIVERY CLAIRE</t>
  </si>
  <si>
    <t>NARTUS JEROME</t>
  </si>
  <si>
    <t>PAROUTY CLAIRE</t>
  </si>
  <si>
    <t>PICART LOUIS</t>
  </si>
  <si>
    <t>PICART VICTOR</t>
  </si>
  <si>
    <t>SAUVE OLIVIER</t>
  </si>
  <si>
    <t>SONNTAG GUY</t>
  </si>
  <si>
    <t>VANDENHOLE CHRISTOPHE</t>
  </si>
  <si>
    <t>103413L</t>
  </si>
  <si>
    <t>VERCOUTERE DANIEL</t>
  </si>
  <si>
    <t>ALEXANIAN LOUIS</t>
  </si>
  <si>
    <t>COQUIGNY JEAN JACQUES</t>
  </si>
  <si>
    <t>DOUE MARC</t>
  </si>
  <si>
    <t>DULIN FRANCOIS</t>
  </si>
  <si>
    <t>FOURE MICHEL</t>
  </si>
  <si>
    <t>GROSS XAVIER</t>
  </si>
  <si>
    <t>GUIDOUX ALAIN</t>
  </si>
  <si>
    <t>JEUGNET JAMES</t>
  </si>
  <si>
    <t>LEVISSE RAYMOND</t>
  </si>
  <si>
    <t>RITACCO ANTONIO</t>
  </si>
  <si>
    <t>ALBOUY CLAUDE</t>
  </si>
  <si>
    <t>BARBERIS PHILIPPE</t>
  </si>
  <si>
    <t>CHANTELOUP GHISLAIN</t>
  </si>
  <si>
    <t>CHENAL GERARD</t>
  </si>
  <si>
    <t>CHOJNACKI NODOT ISABELLE</t>
  </si>
  <si>
    <t>DEBRIS PATRICK</t>
  </si>
  <si>
    <t>DEHELLE BERNARD</t>
  </si>
  <si>
    <t>DOBIGNY JEAN PIERRE</t>
  </si>
  <si>
    <t>178187G</t>
  </si>
  <si>
    <t>DOS SANTOS DJEZZAR RAYAN</t>
  </si>
  <si>
    <t>DOYELLE JACQUY</t>
  </si>
  <si>
    <t>FERREIRA MANUEL</t>
  </si>
  <si>
    <t>FORTIN CLAUDE</t>
  </si>
  <si>
    <t>GERONIMI THIERRY</t>
  </si>
  <si>
    <t>GODARD DANIEL</t>
  </si>
  <si>
    <t>GONZALEZ PATRICE</t>
  </si>
  <si>
    <t>GOUX FREDERIC</t>
  </si>
  <si>
    <t>GRAUX CLAUDE</t>
  </si>
  <si>
    <t>HERVIEU DIDIER</t>
  </si>
  <si>
    <t>HIMBLOT FRANCIS</t>
  </si>
  <si>
    <t>LARUE AMBRE</t>
  </si>
  <si>
    <t>LECOURT ERIC</t>
  </si>
  <si>
    <t>LOPEZ BRUNO</t>
  </si>
  <si>
    <t>MACAIRE JEAN</t>
  </si>
  <si>
    <t>MARTEL CHRISTIAN</t>
  </si>
  <si>
    <t>MAUGER JEAN PAUL</t>
  </si>
  <si>
    <t>020795V</t>
  </si>
  <si>
    <t>MEURIER JACQUES</t>
  </si>
  <si>
    <t>MONROY GERARD</t>
  </si>
  <si>
    <t>MOSER JEAN</t>
  </si>
  <si>
    <t>MURIOT JEAN PIERRE</t>
  </si>
  <si>
    <t>NAHIRNYJ ELENA</t>
  </si>
  <si>
    <t>NAHIRNYJ NICOLAS</t>
  </si>
  <si>
    <t>181604W</t>
  </si>
  <si>
    <t>NIZZI FILIPPO</t>
  </si>
  <si>
    <t>NODOT PASCAL</t>
  </si>
  <si>
    <t>181602T</t>
  </si>
  <si>
    <t>OSWALD PATRICK</t>
  </si>
  <si>
    <t>RECIO SALVADOR</t>
  </si>
  <si>
    <t>REMISE CLAUDE</t>
  </si>
  <si>
    <t>RIGAMONTI GIUSEPPE</t>
  </si>
  <si>
    <t>ROYER JOEL</t>
  </si>
  <si>
    <t>TAILLANDIER CLAUDE</t>
  </si>
  <si>
    <t>VIOLETTE JACQUES</t>
  </si>
  <si>
    <t>WILLIG CLAUDE</t>
  </si>
  <si>
    <t>102525H</t>
  </si>
  <si>
    <t>BLANCHARD THIERRY</t>
  </si>
  <si>
    <t>185677Y</t>
  </si>
  <si>
    <t>BOUSSEMART ALAIN</t>
  </si>
  <si>
    <t>186395D</t>
  </si>
  <si>
    <t>DUTRIAUX VALENTIN</t>
  </si>
  <si>
    <t>141604I</t>
  </si>
  <si>
    <t>186394C</t>
  </si>
  <si>
    <t>LEFEBVRE ALEXIS</t>
  </si>
  <si>
    <t>020502O</t>
  </si>
  <si>
    <t>PICAUD CHRISTIAN</t>
  </si>
  <si>
    <t>020668Y</t>
  </si>
  <si>
    <t>CARDON CHRISTIAN</t>
  </si>
  <si>
    <t>185649S</t>
  </si>
  <si>
    <t>CASSINI PHILIPPE</t>
  </si>
  <si>
    <t>186032J</t>
  </si>
  <si>
    <t>GARNERET CHRISTOPHE</t>
  </si>
  <si>
    <t>134909V</t>
  </si>
  <si>
    <t>GILLES FABRICE</t>
  </si>
  <si>
    <t>BATON LAURENT</t>
  </si>
  <si>
    <t>GOSGNACH DANIEL</t>
  </si>
  <si>
    <t>141366E</t>
  </si>
  <si>
    <t>DONGUY ERIK</t>
  </si>
  <si>
    <t>2 joueurs</t>
  </si>
  <si>
    <t>_</t>
  </si>
  <si>
    <t xml:space="preserve"> </t>
  </si>
  <si>
    <t>3 joueurs</t>
  </si>
  <si>
    <t>4 joueurs</t>
  </si>
  <si>
    <t>5 joueurs</t>
  </si>
  <si>
    <t>Arrivée</t>
  </si>
  <si>
    <t>Tour1</t>
  </si>
  <si>
    <t>Tour2</t>
  </si>
  <si>
    <t>Tour3</t>
  </si>
  <si>
    <t>part</t>
  </si>
  <si>
    <t>Tours de jeu</t>
  </si>
  <si>
    <t>Nom</t>
  </si>
  <si>
    <t>Saison 2025-2026 Liste des Licenciés</t>
  </si>
  <si>
    <t>143555J</t>
  </si>
  <si>
    <t>DAUTEUR PATRICK</t>
  </si>
  <si>
    <t>GUILLOTTE JOSE</t>
  </si>
  <si>
    <t>013874Q</t>
  </si>
  <si>
    <t>PARISI JEAN CLAUDE</t>
  </si>
  <si>
    <t>Mise à jour</t>
  </si>
  <si>
    <t>Cadre</t>
  </si>
  <si>
    <t>MASTERS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</si>
</sst>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00"/>
    <numFmt numFmtId="165" formatCode="0.0000"/>
    <numFmt numFmtId="166" formatCode="[$-F800]dddd\,\ mmmm\ dd\,\ yyyy"/>
    <numFmt numFmtId="167" formatCode="0.0"/>
    <numFmt numFmtId="168" formatCode="0.00000000000"/>
    <numFmt numFmtId="169" formatCode="[$-40C]d\-mmm\-yy;@"/>
  </numFmts>
  <fonts count="71" x14ac:knownFonts="1">
    <font>
      <sz val="10"/>
      <name val="Book Antiqua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ourier New"/>
      <family val="3"/>
    </font>
    <font>
      <sz val="11"/>
      <name val="Courier New"/>
      <family val="3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Arial Narrow"/>
      <family val="2"/>
    </font>
    <font>
      <sz val="14"/>
      <color indexed="8"/>
      <name val="Arial Narrow"/>
      <family val="2"/>
    </font>
    <font>
      <sz val="11"/>
      <color rgb="FFFF0000"/>
      <name val="Courier New"/>
      <family val="3"/>
    </font>
    <font>
      <sz val="11"/>
      <color rgb="FF000000"/>
      <name val="Courier New"/>
      <family val="3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u/>
      <sz val="26"/>
      <color rgb="FF000000"/>
      <name val="Arial"/>
      <family val="2"/>
    </font>
    <font>
      <sz val="8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2"/>
      <color rgb="FF000000"/>
      <name val="Arial"/>
      <family val="2"/>
    </font>
    <font>
      <b/>
      <sz val="20"/>
      <color rgb="FF000000"/>
      <name val="Arial"/>
      <family val="2"/>
    </font>
    <font>
      <b/>
      <sz val="2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4"/>
      <color rgb="FF000000"/>
      <name val="Arial"/>
      <family val="2"/>
    </font>
    <font>
      <i/>
      <sz val="14"/>
      <color rgb="FF000000"/>
      <name val="Arial"/>
      <family val="2"/>
    </font>
    <font>
      <sz val="11"/>
      <color theme="1"/>
      <name val="Arial"/>
      <family val="2"/>
    </font>
    <font>
      <u/>
      <sz val="10"/>
      <color theme="10"/>
      <name val="Book Antiqua"/>
      <family val="1"/>
    </font>
    <font>
      <b/>
      <u/>
      <sz val="18"/>
      <color theme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6"/>
      <color indexed="8"/>
      <name val="Arial"/>
      <family val="2"/>
    </font>
    <font>
      <b/>
      <u/>
      <sz val="14"/>
      <color indexed="8"/>
      <name val="Arial"/>
      <family val="2"/>
    </font>
    <font>
      <b/>
      <sz val="4"/>
      <color indexed="8"/>
      <name val="Arial"/>
      <family val="2"/>
    </font>
    <font>
      <b/>
      <sz val="2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6"/>
      <color rgb="FF000000"/>
      <name val="Arial"/>
      <family val="2"/>
    </font>
    <font>
      <b/>
      <i/>
      <sz val="18"/>
      <color rgb="FF000000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i/>
      <sz val="16"/>
      <color indexed="8"/>
      <name val="Arial"/>
      <family val="2"/>
    </font>
    <font>
      <sz val="24"/>
      <color theme="1"/>
      <name val="Arial"/>
      <family val="2"/>
    </font>
    <font>
      <b/>
      <sz val="10"/>
      <color rgb="FFFF0000"/>
      <name val="Arial"/>
      <family val="2"/>
    </font>
    <font>
      <sz val="12"/>
      <name val="Arial Unicode MS"/>
      <family val="2"/>
    </font>
    <font>
      <b/>
      <sz val="16"/>
      <name val="Arial"/>
      <family val="2"/>
    </font>
    <font>
      <sz val="10"/>
      <name val="Book Antiqua"/>
      <family val="1"/>
    </font>
    <font>
      <u/>
      <sz val="11"/>
      <color theme="10"/>
      <name val="Calibri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68" fillId="0" borderId="0"/>
    <xf numFmtId="0" fontId="69" fillId="0" borderId="0" applyNumberFormat="0" applyFill="0" applyBorder="0" applyAlignment="0" applyProtection="0">
      <alignment vertical="top"/>
      <protection locked="0"/>
    </xf>
  </cellStyleXfs>
  <cellXfs count="473">
    <xf numFmtId="0" fontId="0" fillId="0" borderId="0" xfId="0"/>
    <xf numFmtId="0" fontId="2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5" fillId="0" borderId="0" xfId="4" applyFont="1" applyAlignment="1" applyProtection="1">
      <alignment horizontal="center"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4" applyFont="1" applyFill="1" applyBorder="1" applyAlignment="1" applyProtection="1">
      <alignment vertical="center"/>
    </xf>
    <xf numFmtId="0" fontId="5" fillId="0" borderId="0" xfId="4" applyFont="1" applyFill="1" applyAlignment="1" applyProtection="1">
      <alignment vertical="center"/>
    </xf>
    <xf numFmtId="2" fontId="5" fillId="0" borderId="0" xfId="4" applyNumberFormat="1" applyFont="1" applyAlignment="1" applyProtection="1">
      <alignment vertical="center"/>
    </xf>
    <xf numFmtId="0" fontId="5" fillId="0" borderId="0" xfId="4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15" fontId="5" fillId="0" borderId="0" xfId="4" applyNumberFormat="1" applyFont="1" applyFill="1" applyBorder="1" applyAlignment="1" applyProtection="1">
      <alignment vertical="center"/>
    </xf>
    <xf numFmtId="15" fontId="5" fillId="0" borderId="0" xfId="4" applyNumberFormat="1" applyFont="1" applyFill="1" applyBorder="1" applyAlignment="1" applyProtection="1">
      <alignment horizontal="center" vertical="center"/>
    </xf>
    <xf numFmtId="0" fontId="7" fillId="0" borderId="0" xfId="3" applyFont="1" applyBorder="1" applyAlignment="1">
      <alignment vertical="center" wrapText="1"/>
    </xf>
    <xf numFmtId="0" fontId="17" fillId="0" borderId="0" xfId="4" applyFont="1" applyFill="1" applyBorder="1" applyAlignment="1" applyProtection="1">
      <alignment vertical="center"/>
    </xf>
    <xf numFmtId="0" fontId="5" fillId="5" borderId="0" xfId="4" applyFont="1" applyFill="1" applyAlignment="1" applyProtection="1">
      <alignment horizontal="center" vertical="center"/>
    </xf>
    <xf numFmtId="0" fontId="5" fillId="5" borderId="0" xfId="4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center" vertical="center"/>
    </xf>
    <xf numFmtId="49" fontId="34" fillId="0" borderId="23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left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49" fontId="34" fillId="0" borderId="24" xfId="0" applyNumberFormat="1" applyFont="1" applyBorder="1" applyAlignment="1">
      <alignment horizontal="center" vertical="center"/>
    </xf>
    <xf numFmtId="0" fontId="37" fillId="0" borderId="0" xfId="4" applyFont="1" applyAlignment="1" applyProtection="1">
      <alignment vertical="center"/>
    </xf>
    <xf numFmtId="0" fontId="37" fillId="0" borderId="0" xfId="4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7" fillId="0" borderId="0" xfId="4" applyFont="1" applyFill="1" applyBorder="1" applyAlignment="1" applyProtection="1">
      <alignment horizontal="center" vertical="center"/>
    </xf>
    <xf numFmtId="0" fontId="37" fillId="0" borderId="0" xfId="4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Border="1" applyAlignment="1">
      <alignment horizontal="center" vertical="center"/>
    </xf>
    <xf numFmtId="0" fontId="40" fillId="0" borderId="0" xfId="0" applyFont="1" applyFill="1" applyBorder="1" applyAlignment="1" applyProtection="1">
      <alignment horizontal="center" vertical="center"/>
    </xf>
    <xf numFmtId="0" fontId="37" fillId="0" borderId="0" xfId="4" applyFont="1" applyFill="1" applyAlignment="1" applyProtection="1">
      <alignment horizontal="center" vertical="center"/>
    </xf>
    <xf numFmtId="0" fontId="37" fillId="0" borderId="0" xfId="4" applyFont="1" applyFill="1" applyBorder="1" applyAlignment="1" applyProtection="1">
      <alignment vertical="center"/>
    </xf>
    <xf numFmtId="0" fontId="37" fillId="0" borderId="0" xfId="5" applyFont="1" applyFill="1" applyBorder="1" applyAlignment="1" applyProtection="1">
      <alignment horizontal="center" vertical="center"/>
    </xf>
    <xf numFmtId="49" fontId="37" fillId="0" borderId="0" xfId="4" applyNumberFormat="1" applyFont="1" applyFill="1" applyBorder="1" applyAlignment="1" applyProtection="1">
      <alignment horizontal="center" vertical="center"/>
    </xf>
    <xf numFmtId="0" fontId="38" fillId="0" borderId="0" xfId="5" applyFont="1" applyFill="1" applyBorder="1" applyAlignment="1" applyProtection="1">
      <alignment horizontal="center" vertical="center"/>
    </xf>
    <xf numFmtId="0" fontId="45" fillId="0" borderId="0" xfId="0" applyNumberFormat="1" applyFont="1" applyFill="1" applyBorder="1" applyAlignment="1" applyProtection="1">
      <alignment horizontal="center" vertical="center"/>
    </xf>
    <xf numFmtId="1" fontId="44" fillId="0" borderId="0" xfId="1" applyNumberFormat="1" applyFont="1" applyFill="1" applyBorder="1" applyAlignment="1" applyProtection="1">
      <alignment horizontal="center" vertical="center"/>
    </xf>
    <xf numFmtId="0" fontId="44" fillId="0" borderId="0" xfId="4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1" fontId="1" fillId="0" borderId="0" xfId="0" applyNumberFormat="1" applyFont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1" fontId="1" fillId="0" borderId="20" xfId="0" applyNumberFormat="1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1" fontId="1" fillId="0" borderId="6" xfId="0" applyNumberFormat="1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46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47" fillId="0" borderId="0" xfId="0" applyFont="1" applyAlignment="1" applyProtection="1">
      <alignment vertical="center"/>
    </xf>
    <xf numFmtId="0" fontId="46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/>
    </xf>
    <xf numFmtId="1" fontId="47" fillId="0" borderId="0" xfId="0" applyNumberFormat="1" applyFont="1" applyAlignment="1" applyProtection="1">
      <alignment vertical="center"/>
    </xf>
    <xf numFmtId="0" fontId="47" fillId="0" borderId="0" xfId="0" applyFont="1" applyBorder="1" applyAlignment="1" applyProtection="1">
      <alignment vertical="center"/>
    </xf>
    <xf numFmtId="0" fontId="47" fillId="0" borderId="0" xfId="0" applyFont="1" applyFill="1" applyBorder="1" applyAlignment="1" applyProtection="1">
      <alignment vertical="center"/>
    </xf>
    <xf numFmtId="1" fontId="47" fillId="0" borderId="0" xfId="0" applyNumberFormat="1" applyFont="1" applyBorder="1" applyAlignment="1" applyProtection="1">
      <alignment vertical="center"/>
    </xf>
    <xf numFmtId="0" fontId="47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14" fillId="0" borderId="38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5" fillId="0" borderId="17" xfId="0" applyNumberFormat="1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vertical="center"/>
    </xf>
    <xf numFmtId="0" fontId="48" fillId="0" borderId="0" xfId="0" applyNumberFormat="1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</xf>
    <xf numFmtId="0" fontId="46" fillId="0" borderId="0" xfId="3" applyFont="1" applyBorder="1" applyAlignment="1">
      <alignment vertical="center" wrapText="1"/>
    </xf>
    <xf numFmtId="0" fontId="54" fillId="0" borderId="22" xfId="3" applyFont="1" applyBorder="1" applyAlignment="1">
      <alignment horizontal="center" vertical="center" wrapText="1"/>
    </xf>
    <xf numFmtId="164" fontId="9" fillId="0" borderId="22" xfId="3" applyNumberFormat="1" applyFont="1" applyBorder="1" applyAlignment="1">
      <alignment horizontal="center" vertical="center"/>
    </xf>
    <xf numFmtId="0" fontId="8" fillId="0" borderId="0" xfId="3" applyFont="1" applyBorder="1" applyAlignment="1">
      <alignment vertical="center"/>
    </xf>
    <xf numFmtId="0" fontId="39" fillId="0" borderId="0" xfId="3" applyFont="1" applyBorder="1" applyAlignment="1">
      <alignment vertical="center"/>
    </xf>
    <xf numFmtId="2" fontId="8" fillId="0" borderId="0" xfId="3" applyNumberFormat="1" applyFont="1" applyBorder="1" applyAlignment="1">
      <alignment vertical="center"/>
    </xf>
    <xf numFmtId="0" fontId="54" fillId="0" borderId="23" xfId="3" applyFont="1" applyBorder="1" applyAlignment="1">
      <alignment horizontal="center" vertical="center" wrapText="1"/>
    </xf>
    <xf numFmtId="164" fontId="9" fillId="0" borderId="23" xfId="3" applyNumberFormat="1" applyFont="1" applyBorder="1" applyAlignment="1">
      <alignment horizontal="center" vertical="center"/>
    </xf>
    <xf numFmtId="164" fontId="9" fillId="0" borderId="24" xfId="3" applyNumberFormat="1" applyFont="1" applyBorder="1" applyAlignment="1">
      <alignment horizontal="center" vertical="center"/>
    </xf>
    <xf numFmtId="0" fontId="55" fillId="0" borderId="25" xfId="3" applyFont="1" applyBorder="1" applyAlignment="1">
      <alignment horizontal="center" vertical="center" wrapText="1"/>
    </xf>
    <xf numFmtId="0" fontId="9" fillId="0" borderId="25" xfId="3" applyFont="1" applyBorder="1" applyAlignment="1">
      <alignment vertical="center" wrapText="1"/>
    </xf>
    <xf numFmtId="0" fontId="55" fillId="0" borderId="24" xfId="3" applyFont="1" applyBorder="1" applyAlignment="1">
      <alignment horizontal="center" vertical="center" wrapText="1"/>
    </xf>
    <xf numFmtId="0" fontId="9" fillId="0" borderId="24" xfId="3" applyFont="1" applyBorder="1" applyAlignment="1">
      <alignment vertical="center" wrapText="1"/>
    </xf>
    <xf numFmtId="164" fontId="1" fillId="0" borderId="0" xfId="0" applyNumberFormat="1" applyFont="1" applyFill="1" applyBorder="1" applyAlignment="1" applyProtection="1">
      <alignment vertical="center"/>
    </xf>
    <xf numFmtId="164" fontId="47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39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/>
      <protection locked="0"/>
    </xf>
    <xf numFmtId="0" fontId="39" fillId="0" borderId="51" xfId="0" applyFont="1" applyFill="1" applyBorder="1" applyAlignment="1" applyProtection="1">
      <alignment horizontal="center" vertical="center"/>
    </xf>
    <xf numFmtId="0" fontId="8" fillId="0" borderId="52" xfId="0" applyFont="1" applyFill="1" applyBorder="1" applyAlignment="1" applyProtection="1">
      <alignment horizontal="center" vertical="center"/>
      <protection locked="0"/>
    </xf>
    <xf numFmtId="0" fontId="39" fillId="0" borderId="53" xfId="0" applyFont="1" applyFill="1" applyBorder="1" applyAlignment="1" applyProtection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8" fillId="0" borderId="0" xfId="0" applyFont="1" applyFill="1" applyBorder="1" applyAlignment="1" applyProtection="1">
      <alignment horizontal="left" vertical="center" wrapText="1"/>
    </xf>
    <xf numFmtId="0" fontId="39" fillId="0" borderId="0" xfId="2" applyFont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51" fillId="0" borderId="0" xfId="3" applyFont="1" applyBorder="1" applyAlignment="1">
      <alignment vertical="center"/>
    </xf>
    <xf numFmtId="0" fontId="6" fillId="0" borderId="0" xfId="3" applyFont="1" applyBorder="1" applyAlignment="1">
      <alignment horizontal="center" vertical="center"/>
    </xf>
    <xf numFmtId="0" fontId="55" fillId="0" borderId="0" xfId="3" applyFont="1" applyBorder="1" applyAlignment="1">
      <alignment horizontal="right" vertical="center" wrapText="1"/>
    </xf>
    <xf numFmtId="0" fontId="56" fillId="0" borderId="0" xfId="3" applyFont="1" applyBorder="1" applyAlignment="1">
      <alignment vertical="center" wrapText="1"/>
    </xf>
    <xf numFmtId="0" fontId="56" fillId="0" borderId="0" xfId="3" applyFont="1" applyBorder="1" applyAlignment="1">
      <alignment horizontal="center" vertical="center" wrapText="1"/>
    </xf>
    <xf numFmtId="0" fontId="46" fillId="0" borderId="0" xfId="3" applyFont="1" applyBorder="1" applyAlignment="1">
      <alignment horizontal="center" vertical="center" wrapText="1"/>
    </xf>
    <xf numFmtId="2" fontId="56" fillId="0" borderId="0" xfId="3" applyNumberFormat="1" applyFont="1" applyBorder="1" applyAlignment="1">
      <alignment horizontal="center" vertical="center" wrapText="1"/>
    </xf>
    <xf numFmtId="0" fontId="56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9" fillId="0" borderId="0" xfId="3" applyFont="1" applyBorder="1" applyAlignment="1">
      <alignment vertical="center"/>
    </xf>
    <xf numFmtId="0" fontId="55" fillId="0" borderId="0" xfId="3" applyFont="1" applyAlignment="1">
      <alignment horizontal="center" vertical="center"/>
    </xf>
    <xf numFmtId="0" fontId="57" fillId="0" borderId="0" xfId="3" applyFont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20" fillId="0" borderId="0" xfId="3" applyFont="1" applyBorder="1" applyAlignment="1">
      <alignment vertical="center"/>
    </xf>
    <xf numFmtId="0" fontId="21" fillId="0" borderId="0" xfId="3" applyFont="1" applyBorder="1" applyAlignment="1">
      <alignment vertical="center" wrapText="1"/>
    </xf>
    <xf numFmtId="0" fontId="22" fillId="0" borderId="0" xfId="3" applyFont="1" applyBorder="1" applyAlignment="1">
      <alignment vertical="center"/>
    </xf>
    <xf numFmtId="0" fontId="23" fillId="0" borderId="0" xfId="3" applyFont="1" applyBorder="1" applyAlignment="1">
      <alignment vertical="center"/>
    </xf>
    <xf numFmtId="0" fontId="24" fillId="0" borderId="0" xfId="3" applyFont="1" applyBorder="1" applyAlignment="1">
      <alignment horizontal="center" vertical="center"/>
    </xf>
    <xf numFmtId="0" fontId="25" fillId="0" borderId="0" xfId="3" applyFont="1" applyBorder="1" applyAlignment="1">
      <alignment vertical="center"/>
    </xf>
    <xf numFmtId="0" fontId="26" fillId="0" borderId="0" xfId="3" applyFont="1" applyBorder="1" applyAlignment="1">
      <alignment horizontal="center" vertical="center"/>
    </xf>
    <xf numFmtId="0" fontId="27" fillId="0" borderId="0" xfId="3" applyFont="1" applyBorder="1" applyAlignment="1">
      <alignment vertical="center"/>
    </xf>
    <xf numFmtId="0" fontId="9" fillId="0" borderId="26" xfId="3" applyFont="1" applyBorder="1" applyAlignment="1">
      <alignment vertical="center"/>
    </xf>
    <xf numFmtId="0" fontId="10" fillId="0" borderId="26" xfId="3" applyFont="1" applyBorder="1" applyAlignment="1">
      <alignment horizontal="right" vertical="center"/>
    </xf>
    <xf numFmtId="0" fontId="8" fillId="0" borderId="27" xfId="3" applyFont="1" applyBorder="1" applyAlignment="1">
      <alignment vertical="center"/>
    </xf>
    <xf numFmtId="0" fontId="10" fillId="0" borderId="0" xfId="3" applyFont="1" applyBorder="1" applyAlignment="1">
      <alignment horizontal="right"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20" fillId="0" borderId="0" xfId="3" applyFont="1" applyBorder="1" applyAlignment="1">
      <alignment vertical="center" wrapText="1"/>
    </xf>
    <xf numFmtId="0" fontId="29" fillId="0" borderId="17" xfId="3" applyFont="1" applyBorder="1" applyAlignment="1">
      <alignment horizontal="right" vertical="center"/>
    </xf>
    <xf numFmtId="0" fontId="14" fillId="0" borderId="29" xfId="3" applyFont="1" applyBorder="1" applyAlignment="1">
      <alignment vertical="center"/>
    </xf>
    <xf numFmtId="0" fontId="14" fillId="0" borderId="30" xfId="3" applyFont="1" applyBorder="1" applyAlignment="1">
      <alignment vertical="center"/>
    </xf>
    <xf numFmtId="0" fontId="14" fillId="0" borderId="31" xfId="3" applyFont="1" applyBorder="1" applyAlignment="1">
      <alignment vertical="center"/>
    </xf>
    <xf numFmtId="0" fontId="14" fillId="0" borderId="0" xfId="3" applyFont="1" applyBorder="1" applyAlignment="1">
      <alignment vertical="center"/>
    </xf>
    <xf numFmtId="0" fontId="19" fillId="0" borderId="0" xfId="3" applyFont="1" applyBorder="1" applyAlignment="1">
      <alignment vertical="center" wrapText="1"/>
    </xf>
    <xf numFmtId="0" fontId="30" fillId="0" borderId="0" xfId="3" applyFont="1" applyBorder="1" applyAlignment="1">
      <alignment vertical="center" wrapText="1"/>
    </xf>
    <xf numFmtId="0" fontId="29" fillId="0" borderId="17" xfId="3" applyFont="1" applyBorder="1" applyAlignment="1">
      <alignment horizontal="right" vertical="center" wrapText="1"/>
    </xf>
    <xf numFmtId="0" fontId="31" fillId="0" borderId="0" xfId="3" applyFont="1" applyBorder="1" applyAlignment="1">
      <alignment vertical="center" wrapText="1"/>
    </xf>
    <xf numFmtId="0" fontId="8" fillId="0" borderId="32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10" fillId="0" borderId="17" xfId="3" applyFont="1" applyBorder="1" applyAlignment="1">
      <alignment horizontal="right" vertical="center"/>
    </xf>
    <xf numFmtId="0" fontId="8" fillId="0" borderId="2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9" fillId="0" borderId="0" xfId="3" applyFont="1" applyBorder="1" applyAlignment="1">
      <alignment horizontal="center" vertical="center"/>
    </xf>
    <xf numFmtId="0" fontId="19" fillId="0" borderId="17" xfId="3" applyFont="1" applyBorder="1" applyAlignment="1">
      <alignment vertical="center" wrapText="1"/>
    </xf>
    <xf numFmtId="0" fontId="8" fillId="0" borderId="17" xfId="3" applyFont="1" applyBorder="1" applyAlignment="1">
      <alignment vertical="center"/>
    </xf>
    <xf numFmtId="0" fontId="8" fillId="0" borderId="29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37" xfId="3" applyFont="1" applyBorder="1" applyAlignment="1">
      <alignment vertical="center"/>
    </xf>
    <xf numFmtId="0" fontId="8" fillId="0" borderId="0" xfId="3" applyFont="1" applyBorder="1" applyAlignment="1">
      <alignment vertical="center" wrapText="1"/>
    </xf>
    <xf numFmtId="0" fontId="28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39" fillId="0" borderId="0" xfId="3" applyFont="1" applyBorder="1" applyAlignment="1">
      <alignment horizontal="center" vertical="center"/>
    </xf>
    <xf numFmtId="1" fontId="46" fillId="0" borderId="0" xfId="3" applyNumberFormat="1" applyFont="1" applyBorder="1" applyAlignment="1">
      <alignment horizontal="center" vertical="center" wrapText="1"/>
    </xf>
    <xf numFmtId="0" fontId="20" fillId="0" borderId="17" xfId="3" applyFont="1" applyBorder="1" applyAlignment="1">
      <alignment vertical="center" wrapText="1"/>
    </xf>
    <xf numFmtId="0" fontId="59" fillId="0" borderId="0" xfId="3" applyFont="1" applyBorder="1" applyAlignment="1">
      <alignment vertical="center" wrapText="1"/>
    </xf>
    <xf numFmtId="0" fontId="59" fillId="0" borderId="28" xfId="3" applyFont="1" applyBorder="1" applyAlignment="1">
      <alignment vertical="center" wrapText="1"/>
    </xf>
    <xf numFmtId="0" fontId="49" fillId="0" borderId="26" xfId="3" applyFont="1" applyBorder="1" applyAlignment="1">
      <alignment vertical="center"/>
    </xf>
    <xf numFmtId="0" fontId="49" fillId="0" borderId="27" xfId="3" applyFont="1" applyBorder="1" applyAlignment="1">
      <alignment vertical="center"/>
    </xf>
    <xf numFmtId="49" fontId="34" fillId="0" borderId="23" xfId="0" applyNumberFormat="1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8" fillId="0" borderId="55" xfId="0" applyFont="1" applyBorder="1" applyAlignment="1" applyProtection="1">
      <alignment horizontal="center" vertical="center"/>
    </xf>
    <xf numFmtId="0" fontId="8" fillId="0" borderId="56" xfId="0" applyFont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horizontal="center" vertical="center"/>
    </xf>
    <xf numFmtId="166" fontId="8" fillId="0" borderId="58" xfId="0" applyNumberFormat="1" applyFont="1" applyBorder="1" applyAlignment="1" applyProtection="1">
      <alignment horizontal="center" vertical="center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9" fillId="0" borderId="23" xfId="3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54" fillId="0" borderId="24" xfId="3" applyFont="1" applyBorder="1" applyAlignment="1">
      <alignment horizontal="center" vertical="center" wrapText="1"/>
    </xf>
    <xf numFmtId="0" fontId="40" fillId="0" borderId="0" xfId="4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32" xfId="0" applyFont="1" applyFill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17" xfId="4" applyFont="1" applyFill="1" applyBorder="1" applyAlignment="1" applyProtection="1">
      <alignment vertical="center"/>
    </xf>
    <xf numFmtId="0" fontId="5" fillId="0" borderId="29" xfId="4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5" fillId="0" borderId="26" xfId="4" applyFont="1" applyBorder="1" applyAlignment="1" applyProtection="1">
      <alignment horizontal="center" vertical="center"/>
    </xf>
    <xf numFmtId="0" fontId="5" fillId="0" borderId="0" xfId="4" applyFont="1" applyBorder="1" applyAlignment="1" applyProtection="1">
      <alignment horizontal="center" vertical="center"/>
    </xf>
    <xf numFmtId="0" fontId="5" fillId="0" borderId="30" xfId="4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vertical="center"/>
    </xf>
    <xf numFmtId="0" fontId="5" fillId="0" borderId="59" xfId="0" applyFont="1" applyBorder="1" applyAlignment="1" applyProtection="1">
      <alignment vertical="center"/>
    </xf>
    <xf numFmtId="0" fontId="4" fillId="0" borderId="59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45" fillId="0" borderId="0" xfId="0" applyNumberFormat="1" applyFont="1" applyFill="1" applyBorder="1" applyAlignment="1" applyProtection="1">
      <alignment horizontal="left" vertical="center"/>
    </xf>
    <xf numFmtId="1" fontId="45" fillId="0" borderId="0" xfId="0" applyNumberFormat="1" applyFont="1" applyFill="1" applyBorder="1" applyAlignment="1" applyProtection="1">
      <alignment horizontal="center" vertical="center"/>
    </xf>
    <xf numFmtId="164" fontId="45" fillId="0" borderId="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Fill="1" applyBorder="1" applyAlignment="1" applyProtection="1">
      <alignment horizontal="left" vertical="center"/>
    </xf>
    <xf numFmtId="1" fontId="48" fillId="0" borderId="0" xfId="0" applyNumberFormat="1" applyFont="1" applyFill="1" applyBorder="1" applyAlignment="1" applyProtection="1">
      <alignment horizontal="center" vertical="center"/>
    </xf>
    <xf numFmtId="164" fontId="48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Border="1" applyAlignment="1" applyProtection="1">
      <alignment horizontal="left" vertical="center"/>
    </xf>
    <xf numFmtId="164" fontId="47" fillId="0" borderId="0" xfId="0" applyNumberFormat="1" applyFont="1" applyBorder="1" applyAlignment="1" applyProtection="1">
      <alignment vertical="center"/>
    </xf>
    <xf numFmtId="0" fontId="48" fillId="0" borderId="0" xfId="0" applyFont="1" applyBorder="1" applyAlignment="1" applyProtection="1">
      <alignment horizontal="left" vertical="center"/>
    </xf>
    <xf numFmtId="1" fontId="48" fillId="0" borderId="0" xfId="0" applyNumberFormat="1" applyFont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center" vertical="center"/>
    </xf>
    <xf numFmtId="164" fontId="48" fillId="0" borderId="0" xfId="0" applyNumberFormat="1" applyFont="1" applyBorder="1" applyAlignment="1" applyProtection="1">
      <alignment horizontal="center" vertical="center"/>
    </xf>
    <xf numFmtId="1" fontId="1" fillId="0" borderId="0" xfId="0" applyNumberFormat="1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vertical="center"/>
    </xf>
    <xf numFmtId="1" fontId="46" fillId="0" borderId="0" xfId="0" applyNumberFormat="1" applyFont="1" applyBorder="1" applyAlignment="1" applyProtection="1">
      <alignment vertical="center"/>
    </xf>
    <xf numFmtId="0" fontId="46" fillId="0" borderId="0" xfId="0" applyFont="1" applyAlignment="1" applyProtection="1">
      <alignment horizontal="left" vertical="center"/>
    </xf>
    <xf numFmtId="1" fontId="46" fillId="0" borderId="0" xfId="0" applyNumberFormat="1" applyFont="1" applyAlignment="1" applyProtection="1">
      <alignment vertical="center"/>
    </xf>
    <xf numFmtId="0" fontId="65" fillId="0" borderId="0" xfId="0" applyFont="1" applyBorder="1" applyAlignment="1" applyProtection="1">
      <alignment horizontal="center" vertical="center"/>
    </xf>
    <xf numFmtId="1" fontId="65" fillId="0" borderId="0" xfId="0" applyNumberFormat="1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1" fillId="0" borderId="6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164" fontId="1" fillId="0" borderId="61" xfId="0" applyNumberFormat="1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0" fontId="1" fillId="0" borderId="63" xfId="0" applyFont="1" applyBorder="1" applyAlignment="1" applyProtection="1">
      <alignment horizontal="center" vertical="center"/>
    </xf>
    <xf numFmtId="1" fontId="1" fillId="0" borderId="63" xfId="0" applyNumberFormat="1" applyFont="1" applyBorder="1" applyAlignment="1" applyProtection="1">
      <alignment horizontal="center" vertical="center"/>
    </xf>
    <xf numFmtId="164" fontId="1" fillId="0" borderId="63" xfId="0" applyNumberFormat="1" applyFont="1" applyBorder="1" applyAlignment="1" applyProtection="1">
      <alignment horizontal="center" vertical="center"/>
    </xf>
    <xf numFmtId="164" fontId="1" fillId="0" borderId="64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textRotation="90"/>
    </xf>
    <xf numFmtId="0" fontId="1" fillId="6" borderId="1" xfId="0" applyFont="1" applyFill="1" applyBorder="1" applyAlignment="1" applyProtection="1">
      <alignment horizontal="center" vertical="center"/>
    </xf>
    <xf numFmtId="164" fontId="1" fillId="6" borderId="1" xfId="0" applyNumberFormat="1" applyFont="1" applyFill="1" applyBorder="1" applyAlignment="1" applyProtection="1">
      <alignment horizontal="center" vertical="center"/>
    </xf>
    <xf numFmtId="0" fontId="56" fillId="0" borderId="1" xfId="0" applyNumberFormat="1" applyFont="1" applyFill="1" applyBorder="1" applyAlignment="1" applyProtection="1">
      <alignment horizontal="left" vertical="center"/>
    </xf>
    <xf numFmtId="1" fontId="56" fillId="0" borderId="1" xfId="0" applyNumberFormat="1" applyFont="1" applyFill="1" applyBorder="1" applyAlignment="1" applyProtection="1">
      <alignment horizontal="center" vertical="center"/>
    </xf>
    <xf numFmtId="164" fontId="56" fillId="0" borderId="1" xfId="0" applyNumberFormat="1" applyFont="1" applyFill="1" applyBorder="1" applyAlignment="1" applyProtection="1">
      <alignment horizontal="center" vertical="center"/>
    </xf>
    <xf numFmtId="0" fontId="56" fillId="0" borderId="1" xfId="0" applyNumberFormat="1" applyFont="1" applyFill="1" applyBorder="1" applyAlignment="1" applyProtection="1">
      <alignment horizontal="center" vertical="center"/>
    </xf>
    <xf numFmtId="0" fontId="56" fillId="0" borderId="26" xfId="0" applyNumberFormat="1" applyFont="1" applyFill="1" applyBorder="1" applyAlignment="1" applyProtection="1">
      <alignment vertical="center"/>
    </xf>
    <xf numFmtId="0" fontId="56" fillId="0" borderId="0" xfId="0" applyNumberFormat="1" applyFont="1" applyFill="1" applyBorder="1" applyAlignment="1" applyProtection="1">
      <alignment horizontal="left" vertical="center"/>
    </xf>
    <xf numFmtId="1" fontId="56" fillId="0" borderId="0" xfId="0" applyNumberFormat="1" applyFont="1" applyFill="1" applyBorder="1" applyAlignment="1" applyProtection="1">
      <alignment horizontal="center" vertical="center"/>
    </xf>
    <xf numFmtId="164" fontId="56" fillId="0" borderId="0" xfId="0" applyNumberFormat="1" applyFont="1" applyFill="1" applyBorder="1" applyAlignment="1" applyProtection="1">
      <alignment horizontal="center" vertical="center"/>
    </xf>
    <xf numFmtId="0" fontId="5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4" fillId="0" borderId="0" xfId="0" applyFont="1" applyAlignment="1" applyProtection="1">
      <alignment vertical="center"/>
    </xf>
    <xf numFmtId="0" fontId="66" fillId="0" borderId="0" xfId="0" applyFont="1" applyAlignment="1">
      <alignment horizontal="center"/>
    </xf>
    <xf numFmtId="1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/>
    </xf>
    <xf numFmtId="2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4" fillId="0" borderId="4" xfId="0" applyFont="1" applyFill="1" applyBorder="1" applyAlignment="1" applyProtection="1">
      <alignment horizontal="center" vertical="center"/>
    </xf>
    <xf numFmtId="1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" fontId="9" fillId="0" borderId="22" xfId="3" applyNumberFormat="1" applyFont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70" fillId="0" borderId="0" xfId="0" applyFont="1" applyAlignment="1">
      <alignment vertical="center"/>
    </xf>
    <xf numFmtId="1" fontId="70" fillId="0" borderId="0" xfId="0" applyNumberFormat="1" applyFont="1" applyAlignment="1">
      <alignment vertical="center"/>
    </xf>
    <xf numFmtId="0" fontId="70" fillId="0" borderId="0" xfId="0" applyFont="1" applyFill="1" applyAlignment="1">
      <alignment vertical="center"/>
    </xf>
    <xf numFmtId="0" fontId="70" fillId="0" borderId="0" xfId="0" applyFont="1" applyFill="1" applyBorder="1" applyAlignment="1">
      <alignment vertical="center"/>
    </xf>
    <xf numFmtId="0" fontId="67" fillId="0" borderId="0" xfId="0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6" fillId="0" borderId="0" xfId="6" applyFont="1" applyFill="1" applyAlignment="1">
      <alignment horizontal="center" vertical="center"/>
    </xf>
    <xf numFmtId="0" fontId="41" fillId="4" borderId="0" xfId="0" applyFont="1" applyFill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left" vertical="center"/>
    </xf>
    <xf numFmtId="0" fontId="38" fillId="2" borderId="0" xfId="4" applyFont="1" applyFill="1" applyAlignment="1" applyProtection="1">
      <alignment horizontal="center" vertical="center"/>
    </xf>
    <xf numFmtId="0" fontId="17" fillId="0" borderId="0" xfId="4" applyFont="1" applyFill="1" applyBorder="1" applyAlignment="1" applyProtection="1">
      <alignment horizontal="center" vertical="center"/>
    </xf>
    <xf numFmtId="0" fontId="37" fillId="0" borderId="0" xfId="4" applyFont="1" applyFill="1" applyAlignment="1" applyProtection="1">
      <alignment horizontal="right" vertical="center"/>
    </xf>
    <xf numFmtId="0" fontId="37" fillId="0" borderId="0" xfId="0" applyFont="1" applyFill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18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7" fillId="0" borderId="46" xfId="0" applyFont="1" applyBorder="1" applyAlignment="1">
      <alignment horizontal="center" vertical="center"/>
    </xf>
    <xf numFmtId="0" fontId="67" fillId="0" borderId="47" xfId="0" applyFont="1" applyBorder="1" applyAlignment="1">
      <alignment horizontal="center" vertical="center"/>
    </xf>
    <xf numFmtId="0" fontId="67" fillId="0" borderId="48" xfId="0" applyFont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47" fillId="0" borderId="0" xfId="0" applyFont="1" applyBorder="1" applyAlignment="1" applyProtection="1">
      <alignment horizontal="center" vertical="center"/>
    </xf>
    <xf numFmtId="0" fontId="42" fillId="3" borderId="38" xfId="0" applyFont="1" applyFill="1" applyBorder="1" applyAlignment="1" applyProtection="1">
      <alignment horizontal="center" vertical="center"/>
    </xf>
    <xf numFmtId="0" fontId="42" fillId="3" borderId="39" xfId="0" applyFont="1" applyFill="1" applyBorder="1" applyAlignment="1" applyProtection="1">
      <alignment horizontal="center" vertical="center"/>
    </xf>
    <xf numFmtId="0" fontId="42" fillId="3" borderId="40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 textRotation="90"/>
    </xf>
    <xf numFmtId="0" fontId="1" fillId="3" borderId="59" xfId="0" applyFont="1" applyFill="1" applyBorder="1" applyAlignment="1" applyProtection="1">
      <alignment horizontal="center" vertical="center" textRotation="90"/>
    </xf>
    <xf numFmtId="0" fontId="1" fillId="3" borderId="4" xfId="0" applyFont="1" applyFill="1" applyBorder="1" applyAlignment="1" applyProtection="1">
      <alignment horizontal="center" vertical="center" textRotation="90"/>
    </xf>
    <xf numFmtId="0" fontId="1" fillId="0" borderId="0" xfId="0" applyFont="1" applyFill="1" applyBorder="1" applyAlignment="1" applyProtection="1">
      <alignment horizontal="center" vertical="center" textRotation="90"/>
    </xf>
    <xf numFmtId="0" fontId="1" fillId="0" borderId="69" xfId="0" applyFont="1" applyBorder="1" applyAlignment="1" applyProtection="1">
      <alignment vertical="center"/>
      <protection locked="0"/>
    </xf>
    <xf numFmtId="0" fontId="1" fillId="0" borderId="66" xfId="0" applyFont="1" applyBorder="1" applyAlignment="1" applyProtection="1">
      <alignment vertical="center"/>
      <protection locked="0"/>
    </xf>
    <xf numFmtId="0" fontId="1" fillId="0" borderId="70" xfId="0" applyFont="1" applyBorder="1" applyAlignment="1" applyProtection="1">
      <alignment vertical="center"/>
      <protection locked="0"/>
    </xf>
    <xf numFmtId="0" fontId="1" fillId="0" borderId="71" xfId="0" applyFont="1" applyBorder="1" applyAlignment="1" applyProtection="1">
      <alignment vertical="center"/>
      <protection locked="0"/>
    </xf>
    <xf numFmtId="0" fontId="1" fillId="0" borderId="72" xfId="0" applyFont="1" applyBorder="1" applyAlignment="1" applyProtection="1">
      <alignment vertical="center"/>
      <protection locked="0"/>
    </xf>
    <xf numFmtId="0" fontId="1" fillId="0" borderId="73" xfId="0" applyFont="1" applyBorder="1" applyAlignment="1" applyProtection="1">
      <alignment vertical="center"/>
      <protection locked="0"/>
    </xf>
    <xf numFmtId="0" fontId="1" fillId="0" borderId="67" xfId="0" applyFont="1" applyBorder="1" applyAlignment="1" applyProtection="1">
      <alignment vertical="center"/>
      <protection locked="0"/>
    </xf>
    <xf numFmtId="0" fontId="1" fillId="0" borderId="65" xfId="0" applyFont="1" applyBorder="1" applyAlignment="1" applyProtection="1">
      <alignment vertical="center"/>
      <protection locked="0"/>
    </xf>
    <xf numFmtId="0" fontId="1" fillId="0" borderId="68" xfId="0" applyFont="1" applyBorder="1" applyAlignment="1" applyProtection="1">
      <alignment vertical="center"/>
      <protection locked="0"/>
    </xf>
    <xf numFmtId="0" fontId="1" fillId="0" borderId="39" xfId="0" applyFont="1" applyBorder="1" applyAlignment="1" applyProtection="1">
      <alignment horizontal="center" vertical="center"/>
    </xf>
    <xf numFmtId="0" fontId="1" fillId="0" borderId="39" xfId="0" applyNumberFormat="1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6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 wrapText="1"/>
    </xf>
    <xf numFmtId="0" fontId="53" fillId="0" borderId="25" xfId="3" applyFont="1" applyBorder="1" applyAlignment="1">
      <alignment horizontal="center" vertical="center" wrapText="1"/>
    </xf>
    <xf numFmtId="0" fontId="54" fillId="0" borderId="25" xfId="3" applyFont="1" applyBorder="1" applyAlignment="1">
      <alignment horizontal="center" vertical="center"/>
    </xf>
    <xf numFmtId="0" fontId="52" fillId="0" borderId="38" xfId="3" applyFont="1" applyBorder="1" applyAlignment="1">
      <alignment horizontal="center" vertical="center" wrapText="1"/>
    </xf>
    <xf numFmtId="0" fontId="52" fillId="0" borderId="39" xfId="3" applyFont="1" applyBorder="1" applyAlignment="1">
      <alignment horizontal="center" vertical="center" wrapText="1"/>
    </xf>
    <xf numFmtId="0" fontId="52" fillId="0" borderId="40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8" fillId="0" borderId="23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9" fillId="0" borderId="22" xfId="3" applyFont="1" applyBorder="1" applyAlignment="1">
      <alignment vertical="center"/>
    </xf>
    <xf numFmtId="0" fontId="9" fillId="0" borderId="22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 wrapText="1"/>
    </xf>
    <xf numFmtId="0" fontId="54" fillId="0" borderId="24" xfId="3" applyFont="1" applyBorder="1" applyAlignment="1">
      <alignment horizontal="center" vertical="center" wrapText="1"/>
    </xf>
    <xf numFmtId="166" fontId="54" fillId="0" borderId="24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9" fillId="0" borderId="23" xfId="3" applyFont="1" applyBorder="1" applyAlignment="1">
      <alignment vertical="center"/>
    </xf>
    <xf numFmtId="0" fontId="9" fillId="0" borderId="23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9" fillId="0" borderId="24" xfId="3" applyFont="1" applyBorder="1" applyAlignment="1">
      <alignment vertical="center" wrapText="1"/>
    </xf>
    <xf numFmtId="0" fontId="9" fillId="0" borderId="24" xfId="3" applyFont="1" applyBorder="1" applyAlignment="1">
      <alignment vertical="center"/>
    </xf>
    <xf numFmtId="0" fontId="9" fillId="0" borderId="24" xfId="3" applyFont="1" applyBorder="1" applyAlignment="1">
      <alignment horizontal="center" vertical="center"/>
    </xf>
    <xf numFmtId="0" fontId="56" fillId="0" borderId="0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9" fillId="0" borderId="25" xfId="3" applyFont="1" applyBorder="1" applyAlignment="1">
      <alignment vertical="center"/>
    </xf>
    <xf numFmtId="0" fontId="9" fillId="0" borderId="25" xfId="3" applyFont="1" applyBorder="1" applyAlignment="1">
      <alignment vertical="center" wrapText="1"/>
    </xf>
    <xf numFmtId="0" fontId="6" fillId="0" borderId="29" xfId="3" applyFont="1" applyBorder="1" applyAlignment="1">
      <alignment horizontal="center" vertical="center" wrapText="1"/>
    </xf>
    <xf numFmtId="0" fontId="6" fillId="0" borderId="30" xfId="3" applyFont="1" applyBorder="1" applyAlignment="1">
      <alignment horizontal="center" vertical="center" wrapText="1"/>
    </xf>
    <xf numFmtId="0" fontId="6" fillId="0" borderId="31" xfId="3" applyFont="1" applyBorder="1" applyAlignment="1">
      <alignment horizontal="center" vertical="center" wrapText="1"/>
    </xf>
    <xf numFmtId="0" fontId="6" fillId="0" borderId="30" xfId="3" applyFont="1" applyBorder="1" applyAlignment="1" applyProtection="1">
      <alignment horizontal="center" vertical="center"/>
      <protection locked="0"/>
    </xf>
    <xf numFmtId="0" fontId="50" fillId="0" borderId="32" xfId="3" applyFont="1" applyBorder="1" applyAlignment="1">
      <alignment horizontal="center" vertical="center" wrapText="1"/>
    </xf>
    <xf numFmtId="0" fontId="50" fillId="0" borderId="26" xfId="3" applyFont="1" applyBorder="1" applyAlignment="1">
      <alignment horizontal="center" vertical="center" wrapText="1"/>
    </xf>
    <xf numFmtId="0" fontId="50" fillId="0" borderId="27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28" xfId="3" applyFont="1" applyBorder="1" applyAlignment="1">
      <alignment horizontal="center" vertical="center" wrapText="1"/>
    </xf>
    <xf numFmtId="0" fontId="24" fillId="0" borderId="32" xfId="3" applyFont="1" applyBorder="1" applyAlignment="1">
      <alignment horizontal="center" vertical="center"/>
    </xf>
    <xf numFmtId="0" fontId="24" fillId="0" borderId="26" xfId="3" applyFont="1" applyBorder="1" applyAlignment="1">
      <alignment horizontal="center" vertical="center"/>
    </xf>
    <xf numFmtId="0" fontId="24" fillId="0" borderId="27" xfId="3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 wrapText="1"/>
    </xf>
    <xf numFmtId="0" fontId="19" fillId="0" borderId="0" xfId="3" applyFont="1" applyBorder="1" applyAlignment="1">
      <alignment horizontal="center" vertical="center"/>
    </xf>
    <xf numFmtId="0" fontId="28" fillId="6" borderId="46" xfId="3" applyFont="1" applyFill="1" applyBorder="1" applyAlignment="1">
      <alignment horizontal="center" vertical="center"/>
    </xf>
    <xf numFmtId="0" fontId="28" fillId="6" borderId="47" xfId="3" applyFont="1" applyFill="1" applyBorder="1" applyAlignment="1">
      <alignment horizontal="center" vertical="center"/>
    </xf>
    <xf numFmtId="0" fontId="28" fillId="6" borderId="48" xfId="3" applyFont="1" applyFill="1" applyBorder="1" applyAlignment="1">
      <alignment horizontal="center" vertical="center"/>
    </xf>
    <xf numFmtId="0" fontId="28" fillId="0" borderId="0" xfId="3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center" wrapText="1"/>
    </xf>
    <xf numFmtId="0" fontId="25" fillId="0" borderId="0" xfId="3" applyFont="1" applyBorder="1" applyAlignment="1">
      <alignment horizontal="center" vertical="center" wrapText="1"/>
    </xf>
    <xf numFmtId="0" fontId="13" fillId="0" borderId="35" xfId="3" applyFont="1" applyBorder="1" applyAlignment="1" applyProtection="1">
      <alignment horizontal="center" vertical="center"/>
      <protection locked="0"/>
    </xf>
    <xf numFmtId="0" fontId="13" fillId="0" borderId="42" xfId="3" applyFont="1" applyBorder="1" applyAlignment="1" applyProtection="1">
      <alignment horizontal="center" vertical="center"/>
      <protection locked="0"/>
    </xf>
    <xf numFmtId="0" fontId="28" fillId="0" borderId="17" xfId="3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center"/>
    </xf>
    <xf numFmtId="0" fontId="25" fillId="0" borderId="32" xfId="3" applyFont="1" applyBorder="1" applyAlignment="1">
      <alignment horizontal="right" vertical="center" wrapText="1"/>
    </xf>
    <xf numFmtId="0" fontId="25" fillId="0" borderId="26" xfId="3" applyFont="1" applyBorder="1" applyAlignment="1">
      <alignment horizontal="right" vertical="center" wrapText="1"/>
    </xf>
    <xf numFmtId="0" fontId="54" fillId="0" borderId="44" xfId="3" applyFont="1" applyBorder="1" applyAlignment="1">
      <alignment horizontal="center" vertical="center"/>
    </xf>
    <xf numFmtId="0" fontId="25" fillId="0" borderId="17" xfId="3" applyFont="1" applyBorder="1" applyAlignment="1">
      <alignment horizontal="right" vertical="center" wrapText="1"/>
    </xf>
    <xf numFmtId="0" fontId="25" fillId="0" borderId="0" xfId="3" applyFont="1" applyBorder="1" applyAlignment="1">
      <alignment horizontal="right" vertical="center" wrapText="1"/>
    </xf>
    <xf numFmtId="0" fontId="54" fillId="0" borderId="35" xfId="3" applyFont="1" applyBorder="1" applyAlignment="1" applyProtection="1">
      <alignment horizontal="center" vertical="center"/>
      <protection locked="0"/>
    </xf>
    <xf numFmtId="0" fontId="9" fillId="0" borderId="35" xfId="3" applyFont="1" applyBorder="1" applyAlignment="1" applyProtection="1">
      <alignment horizontal="center" vertical="center"/>
      <protection locked="0"/>
    </xf>
    <xf numFmtId="0" fontId="25" fillId="0" borderId="32" xfId="3" applyFont="1" applyBorder="1" applyAlignment="1">
      <alignment horizontal="center" vertical="center" wrapText="1"/>
    </xf>
    <xf numFmtId="0" fontId="25" fillId="0" borderId="26" xfId="3" applyFont="1" applyBorder="1" applyAlignment="1">
      <alignment horizontal="center" vertical="center" wrapText="1"/>
    </xf>
    <xf numFmtId="0" fontId="53" fillId="0" borderId="44" xfId="3" applyNumberFormat="1" applyFont="1" applyBorder="1" applyAlignment="1">
      <alignment horizontal="left" vertical="center"/>
    </xf>
    <xf numFmtId="0" fontId="54" fillId="0" borderId="44" xfId="1" applyNumberFormat="1" applyFont="1" applyBorder="1" applyAlignment="1">
      <alignment horizontal="center" vertical="center"/>
    </xf>
    <xf numFmtId="0" fontId="54" fillId="0" borderId="45" xfId="1" applyNumberFormat="1" applyFont="1" applyBorder="1" applyAlignment="1">
      <alignment horizontal="center" vertical="center"/>
    </xf>
    <xf numFmtId="164" fontId="54" fillId="0" borderId="35" xfId="3" applyNumberFormat="1" applyFont="1" applyBorder="1" applyAlignment="1">
      <alignment horizontal="center" vertical="center"/>
    </xf>
    <xf numFmtId="164" fontId="54" fillId="0" borderId="42" xfId="3" applyNumberFormat="1" applyFont="1" applyBorder="1" applyAlignment="1">
      <alignment horizontal="center" vertical="center"/>
    </xf>
    <xf numFmtId="0" fontId="10" fillId="0" borderId="43" xfId="3" applyFont="1" applyBorder="1" applyAlignment="1">
      <alignment horizontal="right" vertical="center"/>
    </xf>
    <xf numFmtId="0" fontId="24" fillId="0" borderId="17" xfId="3" applyFont="1" applyBorder="1" applyAlignment="1">
      <alignment horizontal="center" vertical="center"/>
    </xf>
    <xf numFmtId="0" fontId="24" fillId="0" borderId="0" xfId="3" applyFont="1" applyBorder="1" applyAlignment="1">
      <alignment horizontal="center" vertical="center"/>
    </xf>
    <xf numFmtId="0" fontId="24" fillId="0" borderId="28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30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53" fillId="0" borderId="44" xfId="3" applyFont="1" applyBorder="1" applyAlignment="1">
      <alignment horizontal="left" vertical="center"/>
    </xf>
    <xf numFmtId="0" fontId="10" fillId="0" borderId="35" xfId="3" applyFont="1" applyBorder="1" applyAlignment="1" applyProtection="1">
      <alignment horizontal="center" vertical="center"/>
      <protection locked="0"/>
    </xf>
    <xf numFmtId="0" fontId="32" fillId="0" borderId="3" xfId="3" applyFont="1" applyBorder="1" applyAlignment="1">
      <alignment horizontal="center" vertical="center" wrapText="1"/>
    </xf>
    <xf numFmtId="0" fontId="32" fillId="0" borderId="0" xfId="3" applyFont="1" applyBorder="1" applyAlignment="1">
      <alignment horizontal="center" vertical="center" wrapText="1"/>
    </xf>
    <xf numFmtId="0" fontId="32" fillId="0" borderId="28" xfId="3" applyFont="1" applyBorder="1" applyAlignment="1">
      <alignment horizontal="center" vertical="center" wrapText="1"/>
    </xf>
    <xf numFmtId="0" fontId="60" fillId="0" borderId="32" xfId="3" applyFont="1" applyBorder="1" applyAlignment="1">
      <alignment horizontal="center" vertical="center"/>
    </xf>
    <xf numFmtId="0" fontId="60" fillId="0" borderId="26" xfId="3" applyFont="1" applyBorder="1" applyAlignment="1">
      <alignment horizontal="center" vertical="center"/>
    </xf>
    <xf numFmtId="0" fontId="59" fillId="0" borderId="17" xfId="3" applyNumberFormat="1" applyFont="1" applyBorder="1" applyAlignment="1">
      <alignment horizontal="center" vertical="center" wrapText="1"/>
    </xf>
    <xf numFmtId="0" fontId="59" fillId="0" borderId="0" xfId="3" applyNumberFormat="1" applyFont="1" applyBorder="1" applyAlignment="1">
      <alignment horizontal="center" vertical="center" wrapText="1"/>
    </xf>
    <xf numFmtId="0" fontId="59" fillId="0" borderId="28" xfId="3" applyNumberFormat="1" applyFont="1" applyBorder="1" applyAlignment="1">
      <alignment horizontal="center" vertical="center" wrapText="1"/>
    </xf>
    <xf numFmtId="169" fontId="8" fillId="0" borderId="0" xfId="3" applyNumberFormat="1" applyFont="1" applyBorder="1" applyAlignment="1" applyProtection="1">
      <alignment horizontal="center" vertical="center"/>
      <protection locked="0"/>
    </xf>
    <xf numFmtId="169" fontId="8" fillId="0" borderId="2" xfId="3" applyNumberFormat="1" applyFont="1" applyBorder="1" applyAlignment="1" applyProtection="1">
      <alignment horizontal="center" vertical="center"/>
      <protection locked="0"/>
    </xf>
    <xf numFmtId="0" fontId="59" fillId="0" borderId="17" xfId="3" applyFont="1" applyBorder="1" applyAlignment="1">
      <alignment horizontal="center" vertical="center" wrapText="1"/>
    </xf>
    <xf numFmtId="0" fontId="59" fillId="0" borderId="0" xfId="3" applyFont="1" applyBorder="1" applyAlignment="1">
      <alignment horizontal="center" vertical="center" wrapText="1"/>
    </xf>
    <xf numFmtId="0" fontId="59" fillId="0" borderId="28" xfId="3" applyFont="1" applyBorder="1" applyAlignment="1">
      <alignment horizontal="center" vertical="center" wrapText="1"/>
    </xf>
    <xf numFmtId="0" fontId="25" fillId="0" borderId="35" xfId="3" applyFont="1" applyBorder="1" applyAlignment="1" applyProtection="1">
      <alignment horizontal="center" vertical="center" wrapText="1"/>
      <protection locked="0"/>
    </xf>
    <xf numFmtId="0" fontId="33" fillId="0" borderId="17" xfId="3" applyFont="1" applyBorder="1" applyAlignment="1">
      <alignment horizontal="center" vertical="center" wrapText="1"/>
    </xf>
    <xf numFmtId="0" fontId="33" fillId="0" borderId="0" xfId="3" applyFont="1" applyBorder="1" applyAlignment="1">
      <alignment horizontal="center" vertical="center" wrapText="1"/>
    </xf>
    <xf numFmtId="0" fontId="19" fillId="0" borderId="41" xfId="3" applyFont="1" applyBorder="1" applyAlignment="1">
      <alignment horizontal="center" vertical="center" wrapText="1"/>
    </xf>
    <xf numFmtId="0" fontId="19" fillId="0" borderId="35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4" fillId="0" borderId="74" xfId="0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9" fontId="34" fillId="0" borderId="17" xfId="0" applyNumberFormat="1" applyFont="1" applyBorder="1" applyAlignment="1">
      <alignment horizontal="center" vertical="center"/>
    </xf>
    <xf numFmtId="169" fontId="34" fillId="0" borderId="0" xfId="0" applyNumberFormat="1" applyFont="1" applyAlignment="1">
      <alignment horizontal="center" vertical="center"/>
    </xf>
  </cellXfs>
  <cellStyles count="9">
    <cellStyle name="Lien hypertexte" xfId="6" builtinId="8"/>
    <cellStyle name="Lien hypertexte 2" xfId="8"/>
    <cellStyle name="Milliers" xfId="1" builtinId="3"/>
    <cellStyle name="Normal" xfId="0" builtinId="0"/>
    <cellStyle name="Normal 2" xfId="2"/>
    <cellStyle name="Normal 3" xfId="3"/>
    <cellStyle name="Normal 4" xfId="7"/>
    <cellStyle name="Normal_feuille r-sultats 10 joueurs" xfId="4"/>
    <cellStyle name="Normal_feuille r-sultats 10 joueurs 2" xfId="5"/>
  </cellStyles>
  <dxfs count="54"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247650</xdr:rowOff>
    </xdr:from>
    <xdr:to>
      <xdr:col>3</xdr:col>
      <xdr:colOff>1000125</xdr:colOff>
      <xdr:row>7</xdr:row>
      <xdr:rowOff>161925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xmlns="" id="{00000000-0008-0000-03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038225"/>
          <a:ext cx="18669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152400</xdr:colOff>
      <xdr:row>2</xdr:row>
      <xdr:rowOff>295275</xdr:rowOff>
    </xdr:from>
    <xdr:to>
      <xdr:col>15</xdr:col>
      <xdr:colOff>533400</xdr:colOff>
      <xdr:row>7</xdr:row>
      <xdr:rowOff>200025</xdr:rowOff>
    </xdr:to>
    <xdr:pic>
      <xdr:nvPicPr>
        <xdr:cNvPr id="1056" name="Image 1">
          <a:extLst>
            <a:ext uri="{FF2B5EF4-FFF2-40B4-BE49-F238E27FC236}">
              <a16:creationId xmlns:a16="http://schemas.microsoft.com/office/drawing/2014/main" xmlns="" id="{00000000-0008-0000-03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085850"/>
          <a:ext cx="18478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10</xdr:row>
      <xdr:rowOff>85725</xdr:rowOff>
    </xdr:from>
    <xdr:to>
      <xdr:col>4</xdr:col>
      <xdr:colOff>400050</xdr:colOff>
      <xdr:row>16</xdr:row>
      <xdr:rowOff>76200</xdr:rowOff>
    </xdr:to>
    <xdr:pic>
      <xdr:nvPicPr>
        <xdr:cNvPr id="2064" name="Image 1">
          <a:extLst>
            <a:ext uri="{FF2B5EF4-FFF2-40B4-BE49-F238E27FC236}">
              <a16:creationId xmlns:a16="http://schemas.microsoft.com/office/drawing/2014/main" xmlns="" id="{00000000-0008-0000-04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457450"/>
          <a:ext cx="20383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ISK_USB%20DISK\Users\Administratif\Downloads\Feuilles%20de%20resultat%20individuel%202012_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frif-01-02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match"/>
      <sheetName val="Résultat Oise"/>
      <sheetName val="Engagement Ligue"/>
      <sheetName val="Résultat ligue"/>
      <sheetName val="Engagement Secteur"/>
      <sheetName val="Résultat secteur"/>
      <sheetName val="Joueurs"/>
    </sheetNames>
    <sheetDataSet>
      <sheetData sheetId="0">
        <row r="2">
          <cell r="R2">
            <v>0</v>
          </cell>
        </row>
        <row r="4">
          <cell r="R4">
            <v>0</v>
          </cell>
        </row>
        <row r="5">
          <cell r="R5">
            <v>0</v>
          </cell>
        </row>
        <row r="6">
          <cell r="R6">
            <v>0</v>
          </cell>
        </row>
        <row r="7">
          <cell r="R7">
            <v>0</v>
          </cell>
        </row>
        <row r="8">
          <cell r="R8">
            <v>0</v>
          </cell>
        </row>
        <row r="9">
          <cell r="R9">
            <v>0</v>
          </cell>
        </row>
        <row r="16">
          <cell r="H16">
            <v>0</v>
          </cell>
          <cell r="I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  <row r="20">
          <cell r="H20">
            <v>0</v>
          </cell>
          <cell r="I20">
            <v>0</v>
          </cell>
          <cell r="J20">
            <v>0</v>
          </cell>
        </row>
        <row r="21">
          <cell r="H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5">
          <cell r="H25">
            <v>0</v>
          </cell>
          <cell r="J25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29">
          <cell r="H29">
            <v>0</v>
          </cell>
          <cell r="J29">
            <v>0</v>
          </cell>
        </row>
        <row r="32">
          <cell r="H32">
            <v>0</v>
          </cell>
          <cell r="I32">
            <v>0</v>
          </cell>
          <cell r="J32">
            <v>0</v>
          </cell>
        </row>
        <row r="33">
          <cell r="H33">
            <v>0</v>
          </cell>
          <cell r="J33">
            <v>0</v>
          </cell>
        </row>
        <row r="36">
          <cell r="H36">
            <v>0</v>
          </cell>
          <cell r="I36">
            <v>0</v>
          </cell>
          <cell r="J36">
            <v>0</v>
          </cell>
        </row>
        <row r="37">
          <cell r="H37">
            <v>0</v>
          </cell>
          <cell r="J37">
            <v>0</v>
          </cell>
        </row>
        <row r="40">
          <cell r="H40">
            <v>0</v>
          </cell>
          <cell r="I40">
            <v>0</v>
          </cell>
          <cell r="J40">
            <v>0</v>
          </cell>
        </row>
        <row r="41">
          <cell r="H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5">
          <cell r="H45">
            <v>0</v>
          </cell>
          <cell r="J45">
            <v>0</v>
          </cell>
        </row>
        <row r="48">
          <cell r="H48">
            <v>0</v>
          </cell>
          <cell r="I48">
            <v>0</v>
          </cell>
          <cell r="J48">
            <v>0</v>
          </cell>
        </row>
        <row r="49">
          <cell r="H49">
            <v>0</v>
          </cell>
          <cell r="J49">
            <v>0</v>
          </cell>
        </row>
        <row r="52">
          <cell r="H52">
            <v>0</v>
          </cell>
          <cell r="I52">
            <v>0</v>
          </cell>
          <cell r="J52">
            <v>0</v>
          </cell>
        </row>
        <row r="53">
          <cell r="H53">
            <v>0</v>
          </cell>
          <cell r="J53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rage"/>
      <sheetName val="Match"/>
      <sheetName val="Classement impression"/>
      <sheetName val="Feuille de résultat"/>
      <sheetName val="Engagement tour suivant (1)"/>
      <sheetName val="Engagement tour suivant"/>
      <sheetName val="Joueurs"/>
      <sheetName val="Feuil1"/>
    </sheetNames>
    <sheetDataSet>
      <sheetData sheetId="0">
        <row r="6">
          <cell r="A6">
            <v>1</v>
          </cell>
        </row>
      </sheetData>
      <sheetData sheetId="1">
        <row r="2">
          <cell r="CW2">
            <v>2</v>
          </cell>
        </row>
        <row r="23">
          <cell r="B23" t="str">
            <v>ALEXANIAN JOEL</v>
          </cell>
          <cell r="C23">
            <v>120</v>
          </cell>
          <cell r="D23">
            <v>120</v>
          </cell>
          <cell r="E23">
            <v>13</v>
          </cell>
          <cell r="F23">
            <v>47</v>
          </cell>
          <cell r="G23">
            <v>9.2307692307692299</v>
          </cell>
          <cell r="I23">
            <v>9.7007692307692306</v>
          </cell>
          <cell r="J23">
            <v>2</v>
          </cell>
        </row>
        <row r="24">
          <cell r="B24" t="str">
            <v>OLIVEIRA JOSE</v>
          </cell>
          <cell r="D24">
            <v>83</v>
          </cell>
          <cell r="E24">
            <v>13</v>
          </cell>
          <cell r="F24">
            <v>37</v>
          </cell>
          <cell r="G24">
            <v>6.384615384615385</v>
          </cell>
          <cell r="H24">
            <v>0</v>
          </cell>
          <cell r="I24">
            <v>6.7546153846153851</v>
          </cell>
          <cell r="J24">
            <v>0</v>
          </cell>
        </row>
        <row r="26">
          <cell r="B26" t="str">
            <v>VASSEUR YANNICK</v>
          </cell>
          <cell r="C26">
            <v>120</v>
          </cell>
          <cell r="D26">
            <v>89</v>
          </cell>
          <cell r="E26">
            <v>24</v>
          </cell>
          <cell r="F26">
            <v>19</v>
          </cell>
          <cell r="G26">
            <v>3.7083333333333335</v>
          </cell>
          <cell r="I26">
            <v>3.8983333333333334</v>
          </cell>
          <cell r="J26">
            <v>0</v>
          </cell>
        </row>
        <row r="27">
          <cell r="B27" t="str">
            <v>NARTUS JEROME</v>
          </cell>
          <cell r="D27">
            <v>120</v>
          </cell>
          <cell r="E27">
            <v>24</v>
          </cell>
          <cell r="F27">
            <v>21</v>
          </cell>
          <cell r="G27">
            <v>5</v>
          </cell>
          <cell r="H27">
            <v>0</v>
          </cell>
          <cell r="I27">
            <v>5.21</v>
          </cell>
          <cell r="J27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lemat.org/FFBI/sif/?cs=4.f2ac1f64f1479ed81c3d1f41278044ddb8899300d795588dc00a0322c751353dff5bdccd20d832e16fe14af0c4ae47b56bfe0103a7c02537f5038e9ccf1c51f6cd8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telemat.org/FFBI/sif/?cs=4.f2ac1f64f1479ed81c3d1f41278044ddb8899300d795588dc00a0322c751353dff5bdccd20d832e16fe14af0c4ae47b56bfe0103a7c02537f5038e9ccf1c51f6cd8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4"/>
  <sheetViews>
    <sheetView tabSelected="1" zoomScale="90" zoomScaleNormal="90" workbookViewId="0"/>
  </sheetViews>
  <sheetFormatPr baseColWidth="10" defaultColWidth="11.42578125" defaultRowHeight="15" x14ac:dyDescent="0.25"/>
  <cols>
    <col min="1" max="1" width="4" style="23" bestFit="1" customWidth="1"/>
    <col min="2" max="2" width="34.7109375" style="24" customWidth="1"/>
    <col min="3" max="3" width="13.7109375" style="23" customWidth="1"/>
    <col min="4" max="4" width="13" style="24" customWidth="1"/>
    <col min="5" max="5" width="18.7109375" style="24" customWidth="1"/>
    <col min="6" max="6" width="7.85546875" style="24" bestFit="1" customWidth="1"/>
    <col min="7" max="7" width="18.7109375" style="24" bestFit="1" customWidth="1"/>
    <col min="8" max="8" width="47.28515625" style="24" bestFit="1" customWidth="1"/>
    <col min="9" max="9" width="9.7109375" style="2" customWidth="1"/>
    <col min="10" max="10" width="13.140625" style="2" hidden="1" customWidth="1"/>
    <col min="11" max="11" width="11.7109375" style="2" hidden="1" customWidth="1"/>
    <col min="12" max="12" width="15.42578125" style="2" hidden="1" customWidth="1"/>
    <col min="13" max="13" width="8" style="2" hidden="1" customWidth="1"/>
    <col min="14" max="14" width="29.28515625" style="2" hidden="1" customWidth="1"/>
    <col min="15" max="15" width="3.28515625" style="2" hidden="1" customWidth="1"/>
    <col min="16" max="16" width="2.85546875" style="2" hidden="1" customWidth="1"/>
    <col min="17" max="17" width="40.42578125" style="2" hidden="1" customWidth="1"/>
    <col min="18" max="18" width="23.140625" style="2" hidden="1" customWidth="1"/>
    <col min="19" max="19" width="11.42578125" style="2" hidden="1" customWidth="1"/>
    <col min="20" max="20" width="26" style="2" hidden="1" customWidth="1"/>
    <col min="21" max="21" width="11.5703125" style="2" hidden="1" customWidth="1"/>
    <col min="22" max="23" width="11.42578125" style="2" hidden="1" customWidth="1"/>
    <col min="24" max="24" width="24.85546875" style="2" hidden="1" customWidth="1"/>
    <col min="25" max="28" width="11.42578125" style="2" hidden="1" customWidth="1"/>
    <col min="29" max="64" width="11.42578125" style="2" customWidth="1"/>
    <col min="65" max="16384" width="11.42578125" style="2"/>
  </cols>
  <sheetData>
    <row r="1" spans="1:27" ht="20.100000000000001" customHeight="1" x14ac:dyDescent="0.25"/>
    <row r="2" spans="1:27" ht="20.100000000000001" customHeight="1" thickBot="1" x14ac:dyDescent="0.3">
      <c r="B2" s="329" t="s">
        <v>0</v>
      </c>
      <c r="C2" s="329"/>
      <c r="H2" s="25"/>
      <c r="V2" s="2" t="e">
        <f>VLOOKUP(U3,U4:AA43,5,FALSE)</f>
        <v>#N/A</v>
      </c>
      <c r="W2" s="2" t="e">
        <f>VLOOKUP(U3,Q51:W94,6,FALSE)</f>
        <v>#N/A</v>
      </c>
    </row>
    <row r="3" spans="1:27" ht="20.100000000000001" customHeight="1" thickTop="1" thickBot="1" x14ac:dyDescent="0.3">
      <c r="F3" s="331" t="s">
        <v>1</v>
      </c>
      <c r="G3" s="331"/>
      <c r="H3" s="200"/>
      <c r="S3" s="4">
        <f>IF(ISBLANK(H3),0,1)</f>
        <v>0</v>
      </c>
      <c r="U3" s="2" t="str">
        <f>H6&amp;H7</f>
        <v/>
      </c>
    </row>
    <row r="4" spans="1:27" ht="20.100000000000001" customHeight="1" thickTop="1" thickBot="1" x14ac:dyDescent="0.3">
      <c r="F4" s="32"/>
      <c r="G4" s="27"/>
      <c r="H4" s="27"/>
      <c r="I4" s="5"/>
      <c r="J4" s="5"/>
      <c r="K4" s="5"/>
      <c r="L4" s="5"/>
      <c r="M4" s="5"/>
      <c r="N4" s="5"/>
      <c r="O4" s="5"/>
      <c r="S4" s="4"/>
      <c r="U4" s="134" t="str">
        <f t="shared" ref="U4:U43" si="0">V4&amp;X4</f>
        <v>libreMasters</v>
      </c>
      <c r="V4" s="135" t="s">
        <v>32</v>
      </c>
      <c r="W4" s="14">
        <v>1</v>
      </c>
      <c r="X4" s="15" t="s">
        <v>238</v>
      </c>
      <c r="Y4" s="15">
        <v>400</v>
      </c>
      <c r="Z4" s="15">
        <v>300</v>
      </c>
      <c r="AA4" s="15">
        <v>20</v>
      </c>
    </row>
    <row r="5" spans="1:27" ht="20.100000000000001" customHeight="1" thickTop="1" x14ac:dyDescent="0.25">
      <c r="B5" s="24" t="s">
        <v>2</v>
      </c>
      <c r="C5" s="24" t="s">
        <v>3</v>
      </c>
      <c r="D5" s="28"/>
      <c r="E5" s="26"/>
      <c r="F5" s="332" t="s">
        <v>4</v>
      </c>
      <c r="G5" s="332"/>
      <c r="H5" s="201"/>
      <c r="I5" s="5"/>
      <c r="J5" s="9"/>
      <c r="K5" s="9"/>
      <c r="L5" s="9"/>
      <c r="M5" s="16"/>
      <c r="N5" s="9"/>
      <c r="O5" s="5"/>
      <c r="Q5" s="3">
        <f>IF(S15=7,VLOOKUP(H3,L7:M19,2,FALSE),0)</f>
        <v>0</v>
      </c>
      <c r="S5" s="4">
        <f>IF(ISBLANK(H5),0,1)</f>
        <v>0</v>
      </c>
      <c r="U5" s="134" t="str">
        <f t="shared" si="0"/>
        <v>libreNATIONAL 1</v>
      </c>
      <c r="V5" s="135" t="s">
        <v>32</v>
      </c>
      <c r="W5" s="14">
        <v>2</v>
      </c>
      <c r="X5" s="134" t="s">
        <v>23</v>
      </c>
      <c r="Y5" s="135">
        <v>250</v>
      </c>
      <c r="Z5" s="135">
        <v>200</v>
      </c>
      <c r="AA5" s="135">
        <v>25</v>
      </c>
    </row>
    <row r="6" spans="1:27" ht="20.100000000000001" customHeight="1" x14ac:dyDescent="0.25">
      <c r="A6" s="23">
        <v>1</v>
      </c>
      <c r="B6" s="124" t="str">
        <f>IF(ISBLANK(C6),"",VLOOKUP(C6,Licenciés!A:D,2,FALSE))</f>
        <v/>
      </c>
      <c r="C6" s="125"/>
      <c r="D6" s="29"/>
      <c r="E6" s="26"/>
      <c r="F6" s="332" t="s">
        <v>5</v>
      </c>
      <c r="G6" s="332"/>
      <c r="H6" s="202"/>
      <c r="I6" s="9"/>
      <c r="J6" s="9"/>
      <c r="K6" s="9"/>
      <c r="L6" s="16"/>
      <c r="M6" s="16"/>
      <c r="N6" s="9"/>
      <c r="O6" s="5"/>
      <c r="S6" s="4">
        <f t="shared" ref="S6:S9" si="1">IF(ISBLANK(H6),0,1)</f>
        <v>0</v>
      </c>
      <c r="U6" s="134" t="str">
        <f t="shared" si="0"/>
        <v>libreNATIONAL 2</v>
      </c>
      <c r="V6" s="135" t="s">
        <v>32</v>
      </c>
      <c r="W6" s="14">
        <v>3</v>
      </c>
      <c r="X6" s="134" t="s">
        <v>24</v>
      </c>
      <c r="Y6" s="135">
        <v>180</v>
      </c>
      <c r="Z6" s="135"/>
      <c r="AA6" s="135"/>
    </row>
    <row r="7" spans="1:27" ht="20.100000000000001" customHeight="1" x14ac:dyDescent="0.25">
      <c r="A7" s="23">
        <v>2</v>
      </c>
      <c r="B7" s="126" t="str">
        <f>IF(ISBLANK(C7),"",VLOOKUP(C7,Licenciés!A:D,2,FALSE))</f>
        <v/>
      </c>
      <c r="C7" s="127"/>
      <c r="D7" s="30"/>
      <c r="F7" s="332" t="s">
        <v>6</v>
      </c>
      <c r="G7" s="332"/>
      <c r="H7" s="202"/>
      <c r="I7" s="5"/>
      <c r="J7" s="5"/>
      <c r="K7" s="217"/>
      <c r="L7" s="218" t="s">
        <v>783</v>
      </c>
      <c r="M7" s="224">
        <v>2</v>
      </c>
      <c r="N7" s="227" t="s">
        <v>12</v>
      </c>
      <c r="Q7" s="227" t="s">
        <v>227</v>
      </c>
      <c r="R7" s="130" t="s">
        <v>804</v>
      </c>
      <c r="S7" s="4">
        <f t="shared" si="1"/>
        <v>0</v>
      </c>
      <c r="U7" s="134" t="str">
        <f t="shared" si="0"/>
        <v>libreNATIONAL 3</v>
      </c>
      <c r="V7" s="135" t="s">
        <v>32</v>
      </c>
      <c r="W7" s="14">
        <v>3</v>
      </c>
      <c r="X7" s="134" t="s">
        <v>25</v>
      </c>
      <c r="Y7" s="135">
        <v>150</v>
      </c>
      <c r="Z7" s="135">
        <v>150</v>
      </c>
      <c r="AA7" s="135">
        <v>25</v>
      </c>
    </row>
    <row r="8" spans="1:27" ht="20.100000000000001" customHeight="1" x14ac:dyDescent="0.25">
      <c r="A8" s="23">
        <v>3</v>
      </c>
      <c r="B8" s="126" t="str">
        <f>IF(ISBLANK(C8),"",VLOOKUP(C8,Licenciés!A:D,2,FALSE))</f>
        <v/>
      </c>
      <c r="C8" s="127"/>
      <c r="D8" s="29"/>
      <c r="E8" s="26"/>
      <c r="F8" s="332" t="s">
        <v>7</v>
      </c>
      <c r="G8" s="332"/>
      <c r="H8" s="202"/>
      <c r="I8" s="9"/>
      <c r="J8" s="9"/>
      <c r="K8" s="219"/>
      <c r="L8" s="220" t="s">
        <v>786</v>
      </c>
      <c r="M8" s="225">
        <v>3</v>
      </c>
      <c r="N8" s="228" t="s">
        <v>13</v>
      </c>
      <c r="Q8" s="228" t="s">
        <v>234</v>
      </c>
      <c r="R8" s="130" t="s">
        <v>23</v>
      </c>
      <c r="S8" s="4">
        <f t="shared" si="1"/>
        <v>0</v>
      </c>
      <c r="U8" s="134" t="str">
        <f t="shared" si="0"/>
        <v>libreREGIONAL 1</v>
      </c>
      <c r="V8" s="135" t="s">
        <v>32</v>
      </c>
      <c r="W8" s="14">
        <v>4</v>
      </c>
      <c r="X8" s="134" t="s">
        <v>26</v>
      </c>
      <c r="Y8" s="135">
        <v>120</v>
      </c>
      <c r="Z8" s="135">
        <v>120</v>
      </c>
      <c r="AA8" s="135">
        <v>30</v>
      </c>
    </row>
    <row r="9" spans="1:27" ht="20.100000000000001" customHeight="1" thickBot="1" x14ac:dyDescent="0.3">
      <c r="A9" s="23">
        <v>4</v>
      </c>
      <c r="B9" s="126" t="str">
        <f>IF(ISBLANK(C9),"",VLOOKUP(C9,Licenciés!A:D,2,FALSE))</f>
        <v/>
      </c>
      <c r="C9" s="127"/>
      <c r="D9" s="29"/>
      <c r="F9" s="332" t="s">
        <v>8</v>
      </c>
      <c r="G9" s="332"/>
      <c r="H9" s="203"/>
      <c r="I9" s="9"/>
      <c r="J9" s="5"/>
      <c r="K9" s="221"/>
      <c r="L9" s="220" t="s">
        <v>787</v>
      </c>
      <c r="M9" s="225">
        <v>4</v>
      </c>
      <c r="N9" s="228" t="s">
        <v>14</v>
      </c>
      <c r="Q9" s="228" t="s">
        <v>237</v>
      </c>
      <c r="R9" s="130" t="s">
        <v>24</v>
      </c>
      <c r="S9" s="4">
        <f t="shared" si="1"/>
        <v>0</v>
      </c>
      <c r="U9" s="134" t="str">
        <f t="shared" si="0"/>
        <v>libreREGIONAL 2</v>
      </c>
      <c r="V9" s="135" t="s">
        <v>32</v>
      </c>
      <c r="W9" s="14">
        <v>5</v>
      </c>
      <c r="X9" s="134" t="s">
        <v>27</v>
      </c>
      <c r="Y9" s="135">
        <v>80</v>
      </c>
      <c r="Z9" s="135">
        <v>80</v>
      </c>
      <c r="AA9" s="135">
        <v>30</v>
      </c>
    </row>
    <row r="10" spans="1:27" ht="20.100000000000001" customHeight="1" thickTop="1" thickBot="1" x14ac:dyDescent="0.3">
      <c r="A10" s="23">
        <v>5</v>
      </c>
      <c r="B10" s="128" t="str">
        <f>IF(ISBLANK(C10),"",VLOOKUP(C10,Licenciés!A:D,2,FALSE))</f>
        <v/>
      </c>
      <c r="C10" s="129"/>
      <c r="D10" s="29"/>
      <c r="F10" s="32"/>
      <c r="G10" s="32" t="s">
        <v>11</v>
      </c>
      <c r="H10" s="32" t="str">
        <f>IF(H7="","",V2)</f>
        <v/>
      </c>
      <c r="K10" s="222"/>
      <c r="L10" s="223" t="s">
        <v>788</v>
      </c>
      <c r="M10" s="226">
        <v>5</v>
      </c>
      <c r="N10" s="228" t="s">
        <v>15</v>
      </c>
      <c r="Q10" s="228" t="s">
        <v>226</v>
      </c>
      <c r="R10" s="130" t="s">
        <v>25</v>
      </c>
      <c r="S10" s="4"/>
      <c r="U10" s="134" t="str">
        <f t="shared" si="0"/>
        <v>libreREGIONAL 3</v>
      </c>
      <c r="V10" s="135" t="s">
        <v>32</v>
      </c>
      <c r="W10" s="14">
        <v>6</v>
      </c>
      <c r="X10" s="134" t="s">
        <v>28</v>
      </c>
      <c r="Y10" s="135">
        <v>60</v>
      </c>
      <c r="Z10" s="135">
        <v>60</v>
      </c>
      <c r="AA10" s="135">
        <v>40</v>
      </c>
    </row>
    <row r="11" spans="1:27" ht="20.100000000000001" customHeight="1" thickTop="1" thickBot="1" x14ac:dyDescent="0.3">
      <c r="A11" s="214" t="s">
        <v>784</v>
      </c>
      <c r="B11" s="31" t="s">
        <v>785</v>
      </c>
      <c r="C11" s="215" t="s">
        <v>784</v>
      </c>
      <c r="D11" s="29"/>
      <c r="F11" s="331" t="s">
        <v>10</v>
      </c>
      <c r="G11" s="331"/>
      <c r="H11" s="200"/>
      <c r="I11" s="6"/>
      <c r="L11" s="130"/>
      <c r="M11" s="3"/>
      <c r="N11" s="229" t="s">
        <v>16</v>
      </c>
      <c r="Q11" s="228" t="s">
        <v>230</v>
      </c>
      <c r="R11" s="130" t="s">
        <v>26</v>
      </c>
      <c r="S11" s="4">
        <f t="shared" ref="S11" si="2">IF(ISBLANK(H9),0,1)</f>
        <v>0</v>
      </c>
      <c r="U11" s="134" t="str">
        <f t="shared" si="0"/>
        <v>libreREGIONAL 4</v>
      </c>
      <c r="V11" s="135" t="s">
        <v>32</v>
      </c>
      <c r="W11" s="14">
        <v>7</v>
      </c>
      <c r="X11" s="134" t="s">
        <v>29</v>
      </c>
      <c r="Y11" s="135">
        <v>40</v>
      </c>
      <c r="Z11" s="135">
        <v>40</v>
      </c>
      <c r="AA11" s="135">
        <v>50</v>
      </c>
    </row>
    <row r="12" spans="1:27" ht="20.100000000000001" customHeight="1" thickTop="1" x14ac:dyDescent="0.25">
      <c r="A12" s="33"/>
      <c r="B12" s="328" t="s">
        <v>17</v>
      </c>
      <c r="C12" s="328"/>
      <c r="D12" s="328"/>
      <c r="E12" s="328"/>
      <c r="F12" s="27"/>
      <c r="G12" s="27"/>
      <c r="N12" s="229" t="s">
        <v>18</v>
      </c>
      <c r="Q12" s="228" t="s">
        <v>231</v>
      </c>
      <c r="R12" s="130" t="s">
        <v>27</v>
      </c>
      <c r="S12" s="4"/>
      <c r="U12" s="134" t="str">
        <f t="shared" si="0"/>
        <v>libreJUNIORS (U21)</v>
      </c>
      <c r="V12" s="135" t="s">
        <v>32</v>
      </c>
      <c r="W12" s="14">
        <v>8</v>
      </c>
      <c r="X12" s="135" t="s">
        <v>239</v>
      </c>
      <c r="Y12" s="135">
        <v>300</v>
      </c>
      <c r="Z12" s="135">
        <v>200</v>
      </c>
      <c r="AA12" s="135">
        <v>20</v>
      </c>
    </row>
    <row r="13" spans="1:27" ht="20.100000000000001" customHeight="1" x14ac:dyDescent="0.25">
      <c r="A13" s="33"/>
      <c r="B13" s="328" t="s">
        <v>276</v>
      </c>
      <c r="C13" s="328"/>
      <c r="D13" s="328"/>
      <c r="E13" s="328"/>
      <c r="I13" s="6"/>
      <c r="J13" s="5"/>
      <c r="K13" s="5"/>
      <c r="M13" s="3"/>
      <c r="N13" s="230" t="s">
        <v>19</v>
      </c>
      <c r="Q13" s="228" t="s">
        <v>232</v>
      </c>
      <c r="R13" s="130" t="s">
        <v>28</v>
      </c>
      <c r="S13" s="4"/>
      <c r="U13" s="134" t="str">
        <f t="shared" si="0"/>
        <v xml:space="preserve">libreJUNIORS Régionaux </v>
      </c>
      <c r="V13" s="135" t="s">
        <v>32</v>
      </c>
      <c r="W13" s="14">
        <v>9</v>
      </c>
      <c r="X13" s="135" t="s">
        <v>30</v>
      </c>
      <c r="Y13" s="135">
        <v>120</v>
      </c>
      <c r="Z13" s="135">
        <v>100</v>
      </c>
      <c r="AA13" s="135">
        <v>30</v>
      </c>
    </row>
    <row r="14" spans="1:27" ht="20.100000000000001" customHeight="1" x14ac:dyDescent="0.25">
      <c r="A14" s="33"/>
      <c r="B14" s="31"/>
      <c r="C14" s="31"/>
      <c r="D14" s="31"/>
      <c r="E14" s="27"/>
      <c r="F14" s="27"/>
      <c r="G14" s="27"/>
      <c r="I14" s="5"/>
      <c r="J14" s="5"/>
      <c r="K14" s="5"/>
      <c r="L14" s="130"/>
      <c r="M14" s="3"/>
      <c r="Q14" s="228" t="s">
        <v>228</v>
      </c>
      <c r="R14" s="130" t="s">
        <v>29</v>
      </c>
      <c r="U14" s="134" t="str">
        <f t="shared" si="0"/>
        <v>libreCADETS (U17)</v>
      </c>
      <c r="V14" s="135" t="s">
        <v>32</v>
      </c>
      <c r="W14" s="14">
        <v>10</v>
      </c>
      <c r="X14" s="135" t="s">
        <v>240</v>
      </c>
      <c r="Y14" s="135">
        <v>200</v>
      </c>
      <c r="Z14" s="135">
        <v>150</v>
      </c>
      <c r="AA14" s="135">
        <v>20</v>
      </c>
    </row>
    <row r="15" spans="1:27" ht="20.100000000000001" customHeight="1" x14ac:dyDescent="0.25">
      <c r="B15" s="31"/>
      <c r="C15" s="31"/>
      <c r="D15" s="31"/>
      <c r="E15" s="27"/>
      <c r="F15" s="27"/>
      <c r="G15" s="27"/>
      <c r="I15" s="5"/>
      <c r="J15" s="10"/>
      <c r="K15" s="5"/>
      <c r="L15" s="130"/>
      <c r="M15" s="3"/>
      <c r="Q15" s="228" t="s">
        <v>233</v>
      </c>
      <c r="R15" s="130" t="s">
        <v>239</v>
      </c>
      <c r="S15" s="7">
        <f>SUM(S3:S14)</f>
        <v>0</v>
      </c>
      <c r="U15" s="134" t="str">
        <f t="shared" si="0"/>
        <v>libreCADETS Régionaux</v>
      </c>
      <c r="V15" s="135" t="s">
        <v>32</v>
      </c>
      <c r="W15" s="14">
        <v>11</v>
      </c>
      <c r="X15" s="135" t="s">
        <v>242</v>
      </c>
      <c r="Y15" s="135">
        <v>50</v>
      </c>
      <c r="Z15" s="135">
        <v>40</v>
      </c>
      <c r="AA15" s="135">
        <v>40</v>
      </c>
    </row>
    <row r="16" spans="1:27" ht="20.100000000000001" customHeight="1" x14ac:dyDescent="0.25">
      <c r="B16" s="31"/>
      <c r="C16" s="31"/>
      <c r="D16" s="31"/>
      <c r="E16" s="27"/>
      <c r="F16" s="27"/>
      <c r="G16" s="27"/>
      <c r="I16" s="330"/>
      <c r="J16" s="330"/>
      <c r="K16" s="5"/>
      <c r="L16" s="130"/>
      <c r="M16" s="3"/>
      <c r="Q16" s="228" t="s">
        <v>235</v>
      </c>
      <c r="R16" s="130" t="s">
        <v>30</v>
      </c>
      <c r="U16" s="134" t="str">
        <f t="shared" si="0"/>
        <v>libreMINIMES</v>
      </c>
      <c r="V16" s="135" t="s">
        <v>32</v>
      </c>
      <c r="W16" s="14">
        <v>12</v>
      </c>
      <c r="X16" s="134" t="s">
        <v>241</v>
      </c>
      <c r="Y16" s="135">
        <v>50</v>
      </c>
      <c r="Z16" s="135">
        <v>40</v>
      </c>
      <c r="AA16" s="135">
        <v>40</v>
      </c>
    </row>
    <row r="17" spans="1:27" ht="20.100000000000001" customHeight="1" x14ac:dyDescent="0.25">
      <c r="B17" s="31"/>
      <c r="C17" s="31"/>
      <c r="D17" s="31"/>
      <c r="E17" s="27"/>
      <c r="I17" s="5"/>
      <c r="K17" s="5"/>
      <c r="L17" s="130"/>
      <c r="M17" s="3"/>
      <c r="Q17" s="228" t="s">
        <v>229</v>
      </c>
      <c r="R17" s="130" t="s">
        <v>240</v>
      </c>
      <c r="U17" s="134" t="str">
        <f t="shared" si="0"/>
        <v>libre4 BILLES</v>
      </c>
      <c r="V17" s="135" t="s">
        <v>32</v>
      </c>
      <c r="W17" s="14">
        <v>13</v>
      </c>
      <c r="X17" s="135" t="s">
        <v>31</v>
      </c>
      <c r="Y17" s="135">
        <v>50</v>
      </c>
      <c r="Z17" s="135">
        <v>40</v>
      </c>
      <c r="AA17" s="135">
        <v>40</v>
      </c>
    </row>
    <row r="18" spans="1:27" ht="20.100000000000001" customHeight="1" x14ac:dyDescent="0.25">
      <c r="F18" s="27"/>
      <c r="G18" s="27"/>
      <c r="H18" s="28"/>
      <c r="I18" s="13"/>
      <c r="K18" s="5"/>
      <c r="Q18" s="231" t="s">
        <v>236</v>
      </c>
      <c r="R18" s="130" t="s">
        <v>242</v>
      </c>
      <c r="U18" s="134" t="str">
        <f t="shared" si="0"/>
        <v>libreDAME NATIONAL</v>
      </c>
      <c r="V18" s="135" t="s">
        <v>32</v>
      </c>
      <c r="W18" s="14">
        <v>14</v>
      </c>
      <c r="X18" s="134" t="s">
        <v>243</v>
      </c>
      <c r="Y18" s="135">
        <v>150</v>
      </c>
      <c r="Z18" s="135">
        <v>120</v>
      </c>
      <c r="AA18" s="135">
        <v>30</v>
      </c>
    </row>
    <row r="19" spans="1:27" ht="20.100000000000001" customHeight="1" x14ac:dyDescent="0.25">
      <c r="F19" s="27"/>
      <c r="G19" s="27"/>
      <c r="H19" s="28"/>
      <c r="I19" s="5"/>
      <c r="J19" s="11"/>
      <c r="K19" s="8"/>
      <c r="L19" s="130"/>
      <c r="M19" s="3"/>
      <c r="R19" s="130" t="s">
        <v>241</v>
      </c>
      <c r="U19" s="134" t="str">
        <f t="shared" si="0"/>
        <v>libreDAME REGIONAL</v>
      </c>
      <c r="V19" s="135" t="s">
        <v>32</v>
      </c>
      <c r="W19" s="14">
        <v>15</v>
      </c>
      <c r="X19" s="134" t="s">
        <v>244</v>
      </c>
      <c r="Y19" s="135">
        <v>50</v>
      </c>
      <c r="Z19" s="135">
        <v>40</v>
      </c>
      <c r="AA19" s="135">
        <v>50</v>
      </c>
    </row>
    <row r="20" spans="1:27" ht="20.100000000000001" customHeight="1" x14ac:dyDescent="0.25">
      <c r="B20" s="133"/>
      <c r="E20" s="27"/>
      <c r="F20" s="27"/>
      <c r="G20" s="27"/>
      <c r="H20" s="28"/>
      <c r="I20" s="330"/>
      <c r="J20" s="330"/>
      <c r="K20" s="5"/>
      <c r="M20" s="3"/>
      <c r="R20" s="130" t="s">
        <v>31</v>
      </c>
      <c r="U20" s="134" t="str">
        <f t="shared" si="0"/>
        <v>bandeMasters</v>
      </c>
      <c r="V20" s="135" t="s">
        <v>33</v>
      </c>
      <c r="W20" s="14">
        <v>16</v>
      </c>
      <c r="X20" s="134" t="s">
        <v>238</v>
      </c>
      <c r="Y20" s="135">
        <v>120</v>
      </c>
      <c r="Z20" s="135">
        <v>100</v>
      </c>
      <c r="AA20" s="135">
        <v>40</v>
      </c>
    </row>
    <row r="21" spans="1:27" ht="20.100000000000001" customHeight="1" x14ac:dyDescent="0.25">
      <c r="E21" s="27"/>
      <c r="F21" s="27"/>
      <c r="G21" s="27"/>
      <c r="H21" s="28"/>
      <c r="I21" s="132"/>
      <c r="J21" s="5"/>
      <c r="K21" s="5"/>
      <c r="R21" s="130" t="s">
        <v>243</v>
      </c>
      <c r="U21" s="134" t="str">
        <f t="shared" si="0"/>
        <v>bandeNATIONAL 1</v>
      </c>
      <c r="V21" s="135" t="s">
        <v>33</v>
      </c>
      <c r="W21" s="14">
        <v>17</v>
      </c>
      <c r="X21" s="134" t="s">
        <v>23</v>
      </c>
      <c r="Y21" s="135">
        <v>100</v>
      </c>
      <c r="Z21" s="135">
        <v>80</v>
      </c>
      <c r="AA21" s="135">
        <v>40</v>
      </c>
    </row>
    <row r="22" spans="1:27" ht="20.100000000000001" customHeight="1" x14ac:dyDescent="0.25">
      <c r="A22" s="327" t="s">
        <v>327</v>
      </c>
      <c r="B22" s="327"/>
      <c r="C22" s="327"/>
      <c r="D22" s="327"/>
      <c r="E22" s="327"/>
      <c r="F22" s="327"/>
      <c r="G22" s="327"/>
      <c r="H22" s="327"/>
      <c r="I22" s="132"/>
      <c r="J22" s="5"/>
      <c r="K22" s="5"/>
      <c r="R22" s="130" t="s">
        <v>244</v>
      </c>
      <c r="U22" s="134" t="str">
        <f t="shared" si="0"/>
        <v>bandeNATIONAL 2</v>
      </c>
      <c r="V22" s="135" t="s">
        <v>33</v>
      </c>
      <c r="W22" s="14">
        <v>18</v>
      </c>
      <c r="X22" s="134" t="s">
        <v>24</v>
      </c>
      <c r="Y22" s="135">
        <v>80</v>
      </c>
      <c r="Z22" s="135"/>
      <c r="AA22" s="135"/>
    </row>
    <row r="23" spans="1:27" ht="20.100000000000001" customHeight="1" x14ac:dyDescent="0.25">
      <c r="A23" s="327"/>
      <c r="B23" s="327"/>
      <c r="C23" s="327"/>
      <c r="D23" s="327"/>
      <c r="E23" s="327"/>
      <c r="F23" s="327"/>
      <c r="G23" s="327"/>
      <c r="H23" s="327"/>
      <c r="I23" s="5"/>
      <c r="J23" s="5"/>
      <c r="K23" s="5"/>
      <c r="U23" s="134" t="str">
        <f t="shared" si="0"/>
        <v>bandeNATIONAL 3</v>
      </c>
      <c r="V23" s="135" t="s">
        <v>33</v>
      </c>
      <c r="W23" s="14">
        <v>18</v>
      </c>
      <c r="X23" s="134" t="s">
        <v>25</v>
      </c>
      <c r="Y23" s="135">
        <v>60</v>
      </c>
      <c r="Z23" s="135">
        <v>60</v>
      </c>
      <c r="AA23" s="135">
        <v>40</v>
      </c>
    </row>
    <row r="24" spans="1:27" ht="20.100000000000001" customHeight="1" x14ac:dyDescent="0.25">
      <c r="A24" s="326" t="s">
        <v>328</v>
      </c>
      <c r="B24" s="326"/>
      <c r="C24" s="326"/>
      <c r="D24" s="326"/>
      <c r="E24" s="326"/>
      <c r="F24" s="326"/>
      <c r="G24" s="326"/>
      <c r="H24" s="326"/>
      <c r="U24" s="134" t="str">
        <f t="shared" si="0"/>
        <v>bandeREGIONAL 1</v>
      </c>
      <c r="V24" s="135" t="s">
        <v>33</v>
      </c>
      <c r="W24" s="14">
        <v>19</v>
      </c>
      <c r="X24" s="134" t="s">
        <v>26</v>
      </c>
      <c r="Y24" s="135">
        <v>50</v>
      </c>
      <c r="Z24" s="135">
        <v>50</v>
      </c>
      <c r="AA24" s="135">
        <v>40</v>
      </c>
    </row>
    <row r="25" spans="1:27" ht="20.100000000000001" customHeight="1" x14ac:dyDescent="0.25">
      <c r="A25" s="2"/>
      <c r="C25" s="2"/>
      <c r="U25" s="134" t="str">
        <f t="shared" si="0"/>
        <v>bandeREGIONAL 2</v>
      </c>
      <c r="V25" s="135" t="s">
        <v>33</v>
      </c>
      <c r="W25" s="14">
        <v>20</v>
      </c>
      <c r="X25" s="134" t="s">
        <v>27</v>
      </c>
      <c r="Y25" s="135">
        <v>30</v>
      </c>
      <c r="Z25" s="135"/>
      <c r="AA25" s="135"/>
    </row>
    <row r="26" spans="1:27" ht="20.100000000000001" customHeight="1" x14ac:dyDescent="0.25">
      <c r="A26" s="2"/>
      <c r="C26" s="2"/>
      <c r="U26" s="134" t="str">
        <f t="shared" si="0"/>
        <v>CadreMASTERS</v>
      </c>
      <c r="V26" s="135" t="s">
        <v>803</v>
      </c>
      <c r="W26" s="14">
        <v>21</v>
      </c>
      <c r="X26" s="134" t="s">
        <v>804</v>
      </c>
      <c r="Y26" s="135">
        <v>250</v>
      </c>
      <c r="Z26" s="135"/>
      <c r="AA26" s="135"/>
    </row>
    <row r="27" spans="1:27" ht="20.100000000000001" customHeight="1" x14ac:dyDescent="0.25">
      <c r="U27" s="134" t="str">
        <f t="shared" si="0"/>
        <v>cadreNATIONAL 1</v>
      </c>
      <c r="V27" s="135" t="s">
        <v>34</v>
      </c>
      <c r="W27" s="14">
        <v>22</v>
      </c>
      <c r="X27" s="134" t="s">
        <v>23</v>
      </c>
      <c r="Y27" s="135">
        <v>200</v>
      </c>
      <c r="Z27" s="135">
        <v>150</v>
      </c>
      <c r="AA27" s="135">
        <v>20</v>
      </c>
    </row>
    <row r="28" spans="1:27" ht="20.100000000000001" customHeight="1" x14ac:dyDescent="0.25">
      <c r="Q28" s="130"/>
      <c r="U28" s="134" t="str">
        <f t="shared" si="0"/>
        <v>cadreNATIONAL 2</v>
      </c>
      <c r="V28" s="135" t="s">
        <v>34</v>
      </c>
      <c r="W28" s="14">
        <v>23</v>
      </c>
      <c r="X28" s="134" t="s">
        <v>24</v>
      </c>
      <c r="Y28" s="135">
        <v>120</v>
      </c>
      <c r="Z28" s="135">
        <v>100</v>
      </c>
      <c r="AA28" s="135">
        <v>20</v>
      </c>
    </row>
    <row r="29" spans="1:27" ht="20.100000000000001" customHeight="1" x14ac:dyDescent="0.25">
      <c r="Q29" s="130"/>
      <c r="U29" s="134" t="str">
        <f t="shared" si="0"/>
        <v>cadreJUNIORS (U21)</v>
      </c>
      <c r="V29" s="135" t="s">
        <v>34</v>
      </c>
      <c r="W29" s="14">
        <v>24</v>
      </c>
      <c r="X29" s="135" t="s">
        <v>239</v>
      </c>
      <c r="Y29" s="135">
        <v>150</v>
      </c>
      <c r="Z29" s="135">
        <v>120</v>
      </c>
      <c r="AA29" s="135">
        <v>15</v>
      </c>
    </row>
    <row r="30" spans="1:27" ht="20.100000000000001" customHeight="1" x14ac:dyDescent="0.25">
      <c r="E30" s="27"/>
      <c r="F30" s="27"/>
      <c r="G30" s="27"/>
      <c r="Q30" s="130"/>
      <c r="U30" s="134" t="str">
        <f t="shared" si="0"/>
        <v>cadreNATIONAL 3</v>
      </c>
      <c r="V30" s="135" t="s">
        <v>34</v>
      </c>
      <c r="W30" s="14">
        <v>25</v>
      </c>
      <c r="X30" s="134" t="s">
        <v>25</v>
      </c>
      <c r="Y30" s="135">
        <v>120</v>
      </c>
      <c r="Z30" s="135">
        <v>100</v>
      </c>
      <c r="AA30" s="135">
        <v>30</v>
      </c>
    </row>
    <row r="31" spans="1:27" ht="20.100000000000001" customHeight="1" x14ac:dyDescent="0.25">
      <c r="C31" s="28"/>
      <c r="D31" s="28"/>
      <c r="E31" s="27"/>
      <c r="F31" s="27"/>
      <c r="G31" s="27"/>
      <c r="U31" s="134" t="str">
        <f t="shared" si="0"/>
        <v>cadreREGIONAL 1</v>
      </c>
      <c r="V31" s="135" t="s">
        <v>34</v>
      </c>
      <c r="W31" s="14">
        <v>26</v>
      </c>
      <c r="X31" s="134" t="s">
        <v>26</v>
      </c>
      <c r="Y31" s="135">
        <v>80</v>
      </c>
      <c r="Z31" s="135">
        <v>60</v>
      </c>
      <c r="AA31" s="135">
        <v>30</v>
      </c>
    </row>
    <row r="32" spans="1:27" ht="20.100000000000001" customHeight="1" x14ac:dyDescent="0.25">
      <c r="B32" s="28"/>
      <c r="C32" s="33"/>
      <c r="D32" s="27"/>
      <c r="E32" s="27"/>
      <c r="F32" s="27"/>
      <c r="G32" s="27"/>
      <c r="U32" s="134" t="str">
        <f t="shared" si="0"/>
        <v>3 bandesMasters</v>
      </c>
      <c r="V32" s="135" t="s">
        <v>35</v>
      </c>
      <c r="W32" s="14">
        <v>27</v>
      </c>
      <c r="X32" s="134" t="s">
        <v>238</v>
      </c>
      <c r="Y32" s="135">
        <v>40</v>
      </c>
      <c r="Z32" s="135">
        <v>35</v>
      </c>
      <c r="AA32" s="135">
        <v>50</v>
      </c>
    </row>
    <row r="33" spans="2:27" ht="16.5" customHeight="1" x14ac:dyDescent="0.25">
      <c r="B33" s="27"/>
      <c r="C33" s="27"/>
      <c r="D33" s="27"/>
      <c r="E33" s="27"/>
      <c r="F33" s="27"/>
      <c r="G33" s="34"/>
      <c r="U33" s="134" t="str">
        <f t="shared" si="0"/>
        <v>3 bandesNATIONAL 1</v>
      </c>
      <c r="V33" s="135" t="s">
        <v>35</v>
      </c>
      <c r="W33" s="14">
        <v>28</v>
      </c>
      <c r="X33" s="134" t="s">
        <v>23</v>
      </c>
      <c r="Y33" s="135">
        <v>35</v>
      </c>
      <c r="Z33" s="135">
        <v>30</v>
      </c>
      <c r="AA33" s="135">
        <v>50</v>
      </c>
    </row>
    <row r="34" spans="2:27" ht="16.5" customHeight="1" x14ac:dyDescent="0.25">
      <c r="B34" s="27"/>
      <c r="C34" s="27"/>
      <c r="D34" s="27"/>
      <c r="E34" s="27"/>
      <c r="F34" s="27"/>
      <c r="G34" s="34"/>
      <c r="U34" s="134" t="str">
        <f t="shared" si="0"/>
        <v>3 bandesNATIONAL 2</v>
      </c>
      <c r="V34" s="135" t="s">
        <v>35</v>
      </c>
      <c r="W34" s="14">
        <v>29</v>
      </c>
      <c r="X34" s="134" t="s">
        <v>24</v>
      </c>
      <c r="Y34" s="135">
        <v>30</v>
      </c>
      <c r="Z34" s="135">
        <v>25</v>
      </c>
      <c r="AA34" s="135">
        <v>50</v>
      </c>
    </row>
    <row r="35" spans="2:27" x14ac:dyDescent="0.25">
      <c r="B35" s="27"/>
      <c r="C35" s="27"/>
      <c r="D35" s="27"/>
      <c r="E35" s="27"/>
      <c r="F35" s="27"/>
      <c r="G35" s="34"/>
      <c r="U35" s="134" t="str">
        <f t="shared" si="0"/>
        <v>3 bandesNATIONAL 3</v>
      </c>
      <c r="V35" s="135" t="s">
        <v>35</v>
      </c>
      <c r="W35" s="14">
        <v>30</v>
      </c>
      <c r="X35" s="134" t="s">
        <v>25</v>
      </c>
      <c r="Y35" s="135">
        <v>25</v>
      </c>
      <c r="Z35" s="135">
        <v>20</v>
      </c>
      <c r="AA35" s="135">
        <v>60</v>
      </c>
    </row>
    <row r="36" spans="2:27" x14ac:dyDescent="0.25">
      <c r="B36" s="35"/>
      <c r="C36" s="27"/>
      <c r="D36" s="27"/>
      <c r="E36" s="27"/>
      <c r="F36" s="27"/>
      <c r="G36" s="34"/>
      <c r="U36" s="134" t="str">
        <f t="shared" si="0"/>
        <v>3 bandesDAME NATIONAL</v>
      </c>
      <c r="V36" s="135" t="s">
        <v>35</v>
      </c>
      <c r="W36" s="14">
        <v>31</v>
      </c>
      <c r="X36" s="135" t="s">
        <v>243</v>
      </c>
      <c r="Y36" s="135">
        <v>25</v>
      </c>
      <c r="Z36" s="135">
        <v>20</v>
      </c>
      <c r="AA36" s="135">
        <v>60</v>
      </c>
    </row>
    <row r="37" spans="2:27" x14ac:dyDescent="0.25">
      <c r="B37" s="35"/>
      <c r="C37" s="27"/>
      <c r="D37" s="27"/>
      <c r="E37" s="27"/>
      <c r="F37" s="27"/>
      <c r="G37" s="27"/>
      <c r="U37" s="134" t="str">
        <f t="shared" si="0"/>
        <v>3 bandesDAME REGIONAL</v>
      </c>
      <c r="V37" s="135" t="s">
        <v>35</v>
      </c>
      <c r="W37" s="14">
        <v>32</v>
      </c>
      <c r="X37" s="135" t="s">
        <v>244</v>
      </c>
      <c r="Y37" s="135">
        <v>20</v>
      </c>
      <c r="Z37" s="135">
        <v>15</v>
      </c>
      <c r="AA37" s="135">
        <v>60</v>
      </c>
    </row>
    <row r="38" spans="2:27" x14ac:dyDescent="0.25">
      <c r="B38" s="35"/>
      <c r="C38" s="27"/>
      <c r="D38" s="27"/>
      <c r="E38" s="36"/>
      <c r="F38" s="27"/>
      <c r="G38" s="27"/>
      <c r="U38" s="134" t="str">
        <f t="shared" si="0"/>
        <v>3 bandesCADETS Régionaux</v>
      </c>
      <c r="V38" s="135" t="s">
        <v>35</v>
      </c>
      <c r="W38" s="14">
        <v>33</v>
      </c>
      <c r="X38" s="135" t="s">
        <v>242</v>
      </c>
      <c r="Y38" s="135">
        <v>20</v>
      </c>
      <c r="Z38" s="135">
        <v>15</v>
      </c>
      <c r="AA38" s="135">
        <v>60</v>
      </c>
    </row>
    <row r="39" spans="2:27" x14ac:dyDescent="0.25">
      <c r="B39" s="35"/>
      <c r="C39" s="33"/>
      <c r="D39" s="27"/>
      <c r="E39" s="27"/>
      <c r="F39" s="27"/>
      <c r="G39" s="27"/>
      <c r="U39" s="134" t="str">
        <f t="shared" si="0"/>
        <v xml:space="preserve">3 bandesJUNIORS Régionaux </v>
      </c>
      <c r="V39" s="135" t="s">
        <v>35</v>
      </c>
      <c r="W39" s="14">
        <v>34</v>
      </c>
      <c r="X39" s="135" t="s">
        <v>30</v>
      </c>
      <c r="Y39" s="135">
        <v>25</v>
      </c>
      <c r="Z39" s="135">
        <v>20</v>
      </c>
      <c r="AA39" s="135">
        <v>60</v>
      </c>
    </row>
    <row r="40" spans="2:27" x14ac:dyDescent="0.25">
      <c r="B40" s="27"/>
      <c r="C40" s="33"/>
      <c r="D40" s="27"/>
      <c r="E40" s="27"/>
      <c r="F40" s="27"/>
      <c r="G40" s="27"/>
      <c r="U40" s="134" t="str">
        <f t="shared" si="0"/>
        <v>3 bandesJUNIORS (U21)</v>
      </c>
      <c r="V40" s="135" t="s">
        <v>35</v>
      </c>
      <c r="W40" s="14">
        <v>35</v>
      </c>
      <c r="X40" s="135" t="s">
        <v>239</v>
      </c>
      <c r="Y40" s="135">
        <v>30</v>
      </c>
      <c r="Z40" s="135">
        <v>25</v>
      </c>
      <c r="AA40" s="135">
        <v>50</v>
      </c>
    </row>
    <row r="41" spans="2:27" x14ac:dyDescent="0.25">
      <c r="B41" s="27"/>
      <c r="C41" s="27"/>
      <c r="D41" s="27"/>
      <c r="E41" s="27"/>
      <c r="F41" s="27"/>
      <c r="G41" s="27"/>
      <c r="U41" s="134" t="str">
        <f t="shared" si="0"/>
        <v>3 bandesCADETS (U17)</v>
      </c>
      <c r="V41" s="135" t="s">
        <v>35</v>
      </c>
      <c r="W41" s="14">
        <v>36</v>
      </c>
      <c r="X41" s="135" t="s">
        <v>240</v>
      </c>
      <c r="Y41" s="135">
        <v>25</v>
      </c>
      <c r="Z41" s="135">
        <v>20</v>
      </c>
      <c r="AA41" s="135">
        <v>50</v>
      </c>
    </row>
    <row r="42" spans="2:27" x14ac:dyDescent="0.25">
      <c r="B42" s="27"/>
      <c r="C42" s="27"/>
      <c r="D42" s="27"/>
      <c r="E42" s="27"/>
      <c r="F42" s="27"/>
      <c r="G42" s="27"/>
      <c r="U42" s="134" t="str">
        <f t="shared" si="0"/>
        <v>3 bandesREGIONAL 1</v>
      </c>
      <c r="V42" s="135" t="s">
        <v>35</v>
      </c>
      <c r="W42" s="14">
        <v>37</v>
      </c>
      <c r="X42" s="134" t="s">
        <v>26</v>
      </c>
      <c r="Y42" s="135">
        <v>20</v>
      </c>
      <c r="Z42" s="135">
        <v>15</v>
      </c>
      <c r="AA42" s="135">
        <v>60</v>
      </c>
    </row>
    <row r="43" spans="2:27" x14ac:dyDescent="0.25">
      <c r="B43" s="27"/>
      <c r="C43" s="33"/>
      <c r="D43" s="27"/>
      <c r="E43" s="27"/>
      <c r="F43" s="27"/>
      <c r="G43" s="27"/>
      <c r="U43" s="134" t="str">
        <f t="shared" si="0"/>
        <v>3 bandesREGIONAL 2</v>
      </c>
      <c r="V43" s="135" t="s">
        <v>35</v>
      </c>
      <c r="W43" s="14">
        <v>38</v>
      </c>
      <c r="X43" s="134" t="s">
        <v>27</v>
      </c>
      <c r="Y43" s="135">
        <v>15</v>
      </c>
      <c r="Z43" s="135">
        <v>12</v>
      </c>
      <c r="AA43" s="135">
        <v>60</v>
      </c>
    </row>
    <row r="44" spans="2:27" x14ac:dyDescent="0.25">
      <c r="B44" s="27"/>
      <c r="C44" s="33"/>
      <c r="D44" s="27"/>
      <c r="E44" s="27"/>
      <c r="F44" s="27"/>
      <c r="G44" s="27"/>
    </row>
    <row r="45" spans="2:27" x14ac:dyDescent="0.25">
      <c r="B45" s="27"/>
      <c r="C45" s="27"/>
      <c r="D45" s="27"/>
      <c r="E45" s="27"/>
      <c r="F45" s="27"/>
      <c r="G45" s="27"/>
    </row>
    <row r="46" spans="2:27" x14ac:dyDescent="0.25">
      <c r="B46" s="27"/>
      <c r="C46" s="27"/>
      <c r="D46" s="27"/>
      <c r="E46" s="27"/>
      <c r="F46" s="27"/>
      <c r="G46" s="27"/>
    </row>
    <row r="47" spans="2:27" x14ac:dyDescent="0.25">
      <c r="B47" s="27"/>
      <c r="C47" s="27"/>
      <c r="D47" s="27"/>
      <c r="E47" s="27"/>
      <c r="F47" s="27"/>
      <c r="G47" s="27"/>
    </row>
    <row r="48" spans="2:27" x14ac:dyDescent="0.25">
      <c r="B48" s="27"/>
      <c r="C48" s="27"/>
      <c r="D48" s="27"/>
      <c r="E48" s="27"/>
      <c r="F48" s="27"/>
      <c r="G48" s="27"/>
      <c r="Q48" s="130"/>
    </row>
    <row r="49" spans="2:7" x14ac:dyDescent="0.25">
      <c r="B49" s="27"/>
      <c r="C49" s="35"/>
      <c r="D49" s="35"/>
      <c r="E49" s="27"/>
      <c r="F49" s="27"/>
      <c r="G49" s="27"/>
    </row>
    <row r="50" spans="2:7" x14ac:dyDescent="0.25">
      <c r="B50" s="27"/>
      <c r="C50" s="33"/>
      <c r="D50" s="27"/>
      <c r="E50" s="27"/>
      <c r="F50" s="27"/>
      <c r="G50" s="27"/>
    </row>
    <row r="51" spans="2:7" x14ac:dyDescent="0.25">
      <c r="B51" s="27"/>
      <c r="C51" s="33"/>
      <c r="D51" s="27"/>
      <c r="E51" s="27"/>
      <c r="F51" s="27"/>
      <c r="G51" s="27"/>
    </row>
    <row r="52" spans="2:7" x14ac:dyDescent="0.25">
      <c r="B52" s="27"/>
      <c r="C52" s="33"/>
      <c r="D52" s="27"/>
    </row>
    <row r="53" spans="2:7" x14ac:dyDescent="0.25">
      <c r="B53" s="27"/>
      <c r="C53" s="33"/>
      <c r="D53" s="27"/>
    </row>
    <row r="54" spans="2:7" x14ac:dyDescent="0.25">
      <c r="B54" s="27"/>
    </row>
    <row r="91" spans="21:22" x14ac:dyDescent="0.25">
      <c r="U91" s="131"/>
      <c r="V91" s="131"/>
    </row>
    <row r="92" spans="21:22" x14ac:dyDescent="0.25">
      <c r="U92" s="131"/>
      <c r="V92" s="131"/>
    </row>
    <row r="93" spans="21:22" x14ac:dyDescent="0.25">
      <c r="U93" s="131"/>
      <c r="V93" s="131"/>
    </row>
    <row r="94" spans="21:22" x14ac:dyDescent="0.25">
      <c r="U94" s="131"/>
      <c r="V94" s="131"/>
    </row>
  </sheetData>
  <sheetProtection selectLockedCells="1"/>
  <sortState ref="Q7:Q18">
    <sortCondition ref="Q7"/>
  </sortState>
  <mergeCells count="14">
    <mergeCell ref="I20:J20"/>
    <mergeCell ref="I16:J16"/>
    <mergeCell ref="F3:G3"/>
    <mergeCell ref="F5:G5"/>
    <mergeCell ref="F6:G6"/>
    <mergeCell ref="F7:G7"/>
    <mergeCell ref="F8:G8"/>
    <mergeCell ref="F9:G9"/>
    <mergeCell ref="F11:G11"/>
    <mergeCell ref="A24:H24"/>
    <mergeCell ref="A22:H23"/>
    <mergeCell ref="B13:E13"/>
    <mergeCell ref="B12:E12"/>
    <mergeCell ref="B2:C2"/>
  </mergeCells>
  <phoneticPr fontId="0" type="noConversion"/>
  <conditionalFormatting sqref="B6:C10">
    <cfRule type="expression" dxfId="53" priority="6">
      <formula>ISBLANK(B6)</formula>
    </cfRule>
  </conditionalFormatting>
  <conditionalFormatting sqref="H11 H3 H5:H9">
    <cfRule type="containsBlanks" dxfId="52" priority="5">
      <formula>LEN(TRIM(H3))=0</formula>
    </cfRule>
  </conditionalFormatting>
  <conditionalFormatting sqref="A1:XFD1048576">
    <cfRule type="containsErrors" dxfId="51" priority="1">
      <formula>ISERROR(A1)</formula>
    </cfRule>
  </conditionalFormatting>
  <dataValidations count="8">
    <dataValidation type="list" allowBlank="1" showInputMessage="1" showErrorMessage="1" sqref="D21:E21">
      <formula1>$C$35:$C$38</formula1>
    </dataValidation>
    <dataValidation type="list" showInputMessage="1" showErrorMessage="1" sqref="H6">
      <formula1>Mode_de_jeu</formula1>
    </dataValidation>
    <dataValidation type="list" allowBlank="1" showInputMessage="1" showErrorMessage="1" sqref="K5:N5">
      <formula1>$BT$87:$BT$94</formula1>
    </dataValidation>
    <dataValidation type="list" allowBlank="1" showInputMessage="1" showErrorMessage="1" sqref="H8">
      <formula1>Lieu</formula1>
    </dataValidation>
    <dataValidation type="list" allowBlank="1" showInputMessage="1" showErrorMessage="1" sqref="K7">
      <formula1>Categories</formula1>
    </dataValidation>
    <dataValidation type="list" allowBlank="1" showErrorMessage="1" promptTitle="Selectionner " sqref="H3">
      <formula1>Mécanisme_de_jeu</formula1>
    </dataValidation>
    <dataValidation type="list" allowBlank="1" showInputMessage="1" showErrorMessage="1" sqref="H5">
      <formula1>Stade_epreuve</formula1>
    </dataValidation>
    <dataValidation type="list" allowBlank="1" showInputMessage="1" showErrorMessage="1" sqref="H7">
      <formula1>$R$7:$R$22</formula1>
    </dataValidation>
  </dataValidations>
  <hyperlinks>
    <hyperlink ref="A24:H24" r:id="rId1" display="https://www.telemat.org/FFBI/sif/"/>
  </hyperlinks>
  <pageMargins left="0.78740157480314965" right="0.78740157480314965" top="0.98425196850393704" bottom="0.98425196850393704" header="0.51181102362204722" footer="0.51181102362204722"/>
  <pageSetup paperSize="9" scale="56" orientation="portrait" verticalDpi="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21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205"/>
    <col min="2" max="2" width="7.85546875" style="315" hidden="1" customWidth="1"/>
    <col min="3" max="3" width="16.140625" style="312" customWidth="1"/>
    <col min="4" max="4" width="35.7109375" style="205" customWidth="1"/>
    <col min="5" max="5" width="10.7109375" style="205" customWidth="1"/>
    <col min="6" max="6" width="10.7109375" style="284" customWidth="1"/>
    <col min="7" max="8" width="10.7109375" style="205" customWidth="1"/>
    <col min="9" max="9" width="12.7109375" style="99" customWidth="1"/>
    <col min="10" max="11" width="10.7109375" style="205" customWidth="1"/>
    <col min="12" max="12" width="10.7109375" style="205" hidden="1" customWidth="1"/>
    <col min="13" max="13" width="11.42578125" style="283" hidden="1" customWidth="1"/>
    <col min="14" max="14" width="18.28515625" style="208" hidden="1" customWidth="1"/>
    <col min="15" max="15" width="29.140625" style="205" hidden="1" customWidth="1"/>
    <col min="16" max="16" width="20.42578125" style="205" hidden="1" customWidth="1"/>
    <col min="17" max="17" width="14.42578125" style="205" hidden="1" customWidth="1"/>
    <col min="18" max="18" width="17.42578125" style="208" hidden="1" customWidth="1"/>
    <col min="19" max="19" width="8.140625" style="208" hidden="1" customWidth="1"/>
    <col min="20" max="20" width="18.28515625" style="205" hidden="1" customWidth="1"/>
    <col min="21" max="21" width="5.28515625" style="205" hidden="1" customWidth="1"/>
    <col min="22" max="22" width="7.5703125" style="205" hidden="1" customWidth="1"/>
    <col min="23" max="26" width="18.28515625" style="205" hidden="1" customWidth="1"/>
    <col min="27" max="32" width="11.42578125" style="205" hidden="1" customWidth="1"/>
    <col min="33" max="33" width="31.140625" style="205" hidden="1" customWidth="1"/>
    <col min="34" max="34" width="11.42578125" style="205" hidden="1" customWidth="1"/>
    <col min="35" max="35" width="20.140625" style="205" hidden="1" customWidth="1"/>
    <col min="36" max="36" width="8.85546875" style="205" hidden="1" customWidth="1"/>
    <col min="37" max="37" width="25.140625" style="205" hidden="1" customWidth="1"/>
    <col min="38" max="41" width="12.5703125" style="205" hidden="1" customWidth="1"/>
    <col min="42" max="48" width="4.42578125" style="205" hidden="1" customWidth="1"/>
    <col min="49" max="52" width="11.42578125" style="205" hidden="1" customWidth="1"/>
    <col min="53" max="53" width="16.7109375" style="205" hidden="1" customWidth="1"/>
    <col min="54" max="54" width="20.7109375" style="205" hidden="1" customWidth="1"/>
    <col min="55" max="61" width="11.42578125" style="208" hidden="1" customWidth="1"/>
    <col min="62" max="66" width="11.42578125" style="205" hidden="1" customWidth="1"/>
    <col min="67" max="67" width="30.28515625" style="205" hidden="1" customWidth="1"/>
    <col min="68" max="68" width="11.42578125" style="205" hidden="1" customWidth="1"/>
    <col min="69" max="69" width="14.28515625" style="205" hidden="1" customWidth="1"/>
    <col min="70" max="83" width="11.42578125" style="205" hidden="1" customWidth="1"/>
    <col min="84" max="107" width="11.42578125" style="205" customWidth="1"/>
    <col min="108" max="16384" width="11.42578125" style="205"/>
  </cols>
  <sheetData>
    <row r="1" spans="2:73" ht="15.75" thickBot="1" x14ac:dyDescent="0.3">
      <c r="N1" s="312"/>
      <c r="R1" s="312"/>
      <c r="S1" s="312"/>
      <c r="BC1" s="312"/>
      <c r="BD1" s="312"/>
      <c r="BE1" s="312"/>
      <c r="BF1" s="312"/>
      <c r="BG1" s="312"/>
      <c r="BH1" s="312"/>
      <c r="BI1" s="312"/>
    </row>
    <row r="2" spans="2:73" ht="21.95" customHeight="1" thickBot="1" x14ac:dyDescent="0.3">
      <c r="D2" s="339" t="s">
        <v>794</v>
      </c>
      <c r="E2" s="340"/>
      <c r="F2" s="340"/>
      <c r="G2" s="340"/>
      <c r="H2" s="340"/>
      <c r="I2" s="340"/>
      <c r="J2" s="340"/>
      <c r="K2" s="341"/>
      <c r="L2" s="319"/>
      <c r="BJ2" s="337" t="s">
        <v>36</v>
      </c>
      <c r="BK2" s="337"/>
      <c r="BL2" s="337"/>
      <c r="BM2" s="337"/>
    </row>
    <row r="3" spans="2:73" ht="21.95" customHeight="1" thickBot="1" x14ac:dyDescent="0.3">
      <c r="AL3" s="208">
        <v>2</v>
      </c>
      <c r="AM3" s="208">
        <v>3</v>
      </c>
      <c r="AN3" s="208">
        <v>4</v>
      </c>
      <c r="AO3" s="208">
        <v>5</v>
      </c>
      <c r="AP3" s="208"/>
      <c r="AQ3" s="208"/>
      <c r="AR3" s="208"/>
      <c r="AS3" s="208"/>
      <c r="AT3" s="208"/>
      <c r="AU3" s="208"/>
      <c r="AV3" s="208"/>
      <c r="AX3" s="76">
        <v>1</v>
      </c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208">
        <v>2</v>
      </c>
      <c r="BK3" s="208">
        <v>3</v>
      </c>
      <c r="BL3" s="208">
        <v>4</v>
      </c>
      <c r="BM3" s="208">
        <v>5</v>
      </c>
      <c r="BU3" s="77"/>
    </row>
    <row r="4" spans="2:73" ht="21.95" customHeight="1" x14ac:dyDescent="0.25">
      <c r="B4" s="316">
        <f>Tirage!Q5</f>
        <v>0</v>
      </c>
      <c r="C4" s="75"/>
      <c r="L4" s="320"/>
      <c r="M4" s="285"/>
      <c r="N4" s="76"/>
      <c r="O4" s="94"/>
      <c r="P4" s="94"/>
      <c r="Q4" s="94"/>
      <c r="R4" s="76"/>
      <c r="S4" s="76"/>
      <c r="T4" s="94"/>
      <c r="U4" s="94"/>
      <c r="V4" s="94"/>
      <c r="W4" s="94"/>
      <c r="X4" s="94"/>
      <c r="Y4" s="94"/>
      <c r="Z4" s="94"/>
      <c r="AG4" s="286" t="s">
        <v>39</v>
      </c>
      <c r="AH4" s="1">
        <v>2</v>
      </c>
      <c r="AX4" s="76">
        <v>2</v>
      </c>
      <c r="AY4" s="76"/>
      <c r="AZ4" s="76"/>
      <c r="BA4" s="76" t="s">
        <v>40</v>
      </c>
      <c r="BB4" s="76"/>
      <c r="BC4" s="76"/>
      <c r="BD4" s="76"/>
      <c r="BE4" s="76"/>
      <c r="BF4" s="76"/>
      <c r="BG4" s="76"/>
      <c r="BH4" s="76"/>
      <c r="BI4" s="76"/>
      <c r="BJ4" s="252">
        <v>1</v>
      </c>
      <c r="BK4" s="253">
        <v>1</v>
      </c>
      <c r="BL4" s="253">
        <v>1</v>
      </c>
      <c r="BM4" s="254">
        <v>1</v>
      </c>
      <c r="BU4" s="77"/>
    </row>
    <row r="5" spans="2:73" ht="21.95" customHeight="1" x14ac:dyDescent="0.3">
      <c r="D5" s="342" t="e">
        <f>HLOOKUP($B$4,TourDeJeu,27,FALSE)</f>
        <v>#N/A</v>
      </c>
      <c r="E5" s="343"/>
      <c r="F5" s="343"/>
      <c r="G5" s="343"/>
      <c r="H5" s="343"/>
      <c r="I5" s="343"/>
      <c r="J5" s="343"/>
      <c r="K5" s="344"/>
      <c r="R5" s="287"/>
      <c r="AG5" s="286" t="s">
        <v>48</v>
      </c>
      <c r="AH5" s="1">
        <v>3</v>
      </c>
      <c r="AK5" s="88"/>
      <c r="AX5" s="76">
        <v>3</v>
      </c>
      <c r="AY5" s="76"/>
      <c r="AZ5" s="76"/>
      <c r="BA5" s="208"/>
      <c r="BB5" s="69" t="s">
        <v>41</v>
      </c>
      <c r="BC5" s="70" t="s">
        <v>42</v>
      </c>
      <c r="BD5" s="76"/>
      <c r="BE5" s="76"/>
      <c r="BF5" s="76"/>
      <c r="BG5" s="76"/>
      <c r="BH5" s="76"/>
      <c r="BI5" s="76"/>
      <c r="BJ5" s="255">
        <v>2</v>
      </c>
      <c r="BK5" s="256">
        <v>2</v>
      </c>
      <c r="BL5" s="256">
        <v>2</v>
      </c>
      <c r="BM5" s="257">
        <v>2</v>
      </c>
    </row>
    <row r="6" spans="2:73" ht="21.95" customHeight="1" thickBot="1" x14ac:dyDescent="0.3">
      <c r="C6" s="312" t="s">
        <v>3</v>
      </c>
      <c r="D6" s="216" t="s">
        <v>795</v>
      </c>
      <c r="E6" s="208" t="s">
        <v>11</v>
      </c>
      <c r="F6" s="75" t="s">
        <v>38</v>
      </c>
      <c r="G6" s="208" t="s">
        <v>44</v>
      </c>
      <c r="H6" s="208" t="s">
        <v>45</v>
      </c>
      <c r="I6" s="206" t="s">
        <v>46</v>
      </c>
      <c r="J6" s="208" t="s">
        <v>793</v>
      </c>
      <c r="K6" s="208" t="s">
        <v>47</v>
      </c>
      <c r="L6" s="312"/>
      <c r="S6" s="208" t="s">
        <v>789</v>
      </c>
      <c r="V6" s="205" t="s">
        <v>47</v>
      </c>
      <c r="X6" s="75" t="s">
        <v>38</v>
      </c>
      <c r="Y6" s="208" t="s">
        <v>44</v>
      </c>
      <c r="Z6" s="208" t="s">
        <v>45</v>
      </c>
      <c r="AA6" s="206" t="s">
        <v>46</v>
      </c>
      <c r="AB6" s="206" t="s">
        <v>68</v>
      </c>
      <c r="AC6" s="208" t="s">
        <v>47</v>
      </c>
      <c r="AG6" s="286" t="s">
        <v>53</v>
      </c>
      <c r="AH6" s="1">
        <v>4</v>
      </c>
      <c r="AK6" s="88"/>
      <c r="AX6" s="76">
        <v>4</v>
      </c>
      <c r="AY6" s="76"/>
      <c r="AZ6" s="76"/>
      <c r="BA6" s="208" t="s">
        <v>49</v>
      </c>
      <c r="BB6" s="69">
        <f>IF(J7=J8,21,IF(J7&gt;J8,B7,B8))</f>
        <v>21</v>
      </c>
      <c r="BC6" s="69">
        <f>IF(K31+K32=0,21,IF(K31=2,B31,B32))</f>
        <v>21</v>
      </c>
      <c r="BD6" s="76"/>
      <c r="BE6" s="76"/>
      <c r="BF6" s="76"/>
      <c r="BG6" s="76"/>
      <c r="BH6" s="76"/>
      <c r="BI6" s="76"/>
      <c r="BJ6" s="255"/>
      <c r="BK6" s="256">
        <v>3</v>
      </c>
      <c r="BL6" s="256">
        <v>3</v>
      </c>
      <c r="BM6" s="257">
        <v>3</v>
      </c>
      <c r="BS6" s="70"/>
      <c r="BT6" s="70"/>
    </row>
    <row r="7" spans="2:73" ht="21.95" customHeight="1" x14ac:dyDescent="0.25">
      <c r="B7" s="315" t="e">
        <f>HLOOKUP($B$4,Scenario1,5,FALSE)</f>
        <v>#N/A</v>
      </c>
      <c r="C7" s="321" t="e">
        <f>VLOOKUP($B7,joueurs,3,FALSE)</f>
        <v>#N/A</v>
      </c>
      <c r="D7" s="71" t="e">
        <f>VLOOKUP($B7,joueurs,2,FALSE)</f>
        <v>#N/A</v>
      </c>
      <c r="E7" s="335" t="e">
        <f>HLOOKUP($B$4,TourDeJeu,33,FALSE)</f>
        <v>#N/A</v>
      </c>
      <c r="F7" s="288"/>
      <c r="G7" s="289"/>
      <c r="H7" s="289"/>
      <c r="I7" s="290" t="str">
        <f>IF(G7="","",F7/G7)</f>
        <v/>
      </c>
      <c r="J7" s="291" t="str">
        <f>IF(K7&gt;=1,I7,0)</f>
        <v/>
      </c>
      <c r="K7" s="292" t="str">
        <f>IF(ISBLANK(F7),"",IF(F7&gt;F8,2,IF(F7=F8,1,0)))</f>
        <v/>
      </c>
      <c r="L7" s="302" t="e">
        <f>K7+(H7/50000)</f>
        <v>#VALUE!</v>
      </c>
      <c r="M7" s="294" t="e">
        <f>IF(B7="_"," ",IF(OR(AND(K7=1,B7&gt;B8),(K7=2),(L7&gt;L8)),"V","P"))</f>
        <v>#N/A</v>
      </c>
      <c r="N7" s="294" t="e">
        <f>B7</f>
        <v>#N/A</v>
      </c>
      <c r="P7" s="295"/>
      <c r="Q7" s="205" t="s">
        <v>790</v>
      </c>
      <c r="R7" s="205"/>
      <c r="S7" s="205"/>
      <c r="U7" s="295">
        <f>COUNTIF(Tour1,W7)</f>
        <v>0</v>
      </c>
      <c r="V7" s="295">
        <f>AC7</f>
        <v>0</v>
      </c>
      <c r="W7" s="295">
        <f>Tirage!C6</f>
        <v>0</v>
      </c>
      <c r="X7" s="295">
        <f>(IF($U7=1,VLOOKUP($W7,Tour1,4,FALSE),0))</f>
        <v>0</v>
      </c>
      <c r="Y7" s="295">
        <f>(IF($U7=1,VLOOKUP($W7,Tour1,5,FALSE),0))</f>
        <v>0</v>
      </c>
      <c r="Z7" s="295">
        <f>(IF($U7=1,VLOOKUP($W7,Tour1,6,FALSE),0))</f>
        <v>0</v>
      </c>
      <c r="AA7" s="295"/>
      <c r="AB7" s="295">
        <f>(IF($U7=1,VLOOKUP($W7,Tour1,8,FALSE),0))</f>
        <v>0</v>
      </c>
      <c r="AC7" s="295">
        <f>(IF($U7=1,VLOOKUP($W7,Tour1,9,FALSE),0))</f>
        <v>0</v>
      </c>
      <c r="AG7" s="286" t="s">
        <v>9</v>
      </c>
      <c r="AH7" s="1">
        <v>5</v>
      </c>
      <c r="AK7" s="338" t="s">
        <v>51</v>
      </c>
      <c r="AL7" s="78">
        <v>1</v>
      </c>
      <c r="AM7" s="79">
        <v>2</v>
      </c>
      <c r="AN7" s="79">
        <v>1</v>
      </c>
      <c r="AO7" s="80">
        <v>2</v>
      </c>
      <c r="AP7" s="81"/>
      <c r="AQ7" s="81"/>
      <c r="AR7" s="81"/>
      <c r="AS7" s="81"/>
      <c r="AT7" s="81"/>
      <c r="AU7" s="81"/>
      <c r="AV7" s="81"/>
      <c r="AX7" s="76">
        <v>5</v>
      </c>
      <c r="AY7" s="76"/>
      <c r="AZ7" s="76"/>
      <c r="BA7" s="208" t="s">
        <v>41</v>
      </c>
      <c r="BB7" s="69">
        <f>IF(J8=J7,20,IF(J8&lt;J7,B8,B7))</f>
        <v>20</v>
      </c>
      <c r="BC7" s="69">
        <f>IF(K35+K34=0,20,IF(K35=2,B34,B35))</f>
        <v>20</v>
      </c>
      <c r="BD7" s="76"/>
      <c r="BE7" s="76"/>
      <c r="BF7" s="76"/>
      <c r="BG7" s="76"/>
      <c r="BH7" s="76"/>
      <c r="BI7" s="76"/>
      <c r="BJ7" s="255"/>
      <c r="BK7" s="256"/>
      <c r="BL7" s="256">
        <v>4</v>
      </c>
      <c r="BM7" s="257">
        <v>4</v>
      </c>
      <c r="BS7" s="69"/>
      <c r="BT7" s="69"/>
    </row>
    <row r="8" spans="2:73" ht="21.95" customHeight="1" thickBot="1" x14ac:dyDescent="0.3">
      <c r="B8" s="315" t="e">
        <f>HLOOKUP($B$4,Scenario1,6,FALSE)</f>
        <v>#N/A</v>
      </c>
      <c r="C8" s="321" t="e">
        <f>VLOOKUP($B8,joueurs,3,FALSE)</f>
        <v>#N/A</v>
      </c>
      <c r="D8" s="71" t="e">
        <f>VLOOKUP($B8,joueurs,2,FALSE)</f>
        <v>#N/A</v>
      </c>
      <c r="E8" s="336"/>
      <c r="F8" s="288"/>
      <c r="G8" s="296" t="str">
        <f>IF(G7="","",G7)</f>
        <v/>
      </c>
      <c r="H8" s="289"/>
      <c r="I8" s="290" t="str">
        <f>IF(G8="","",F8/G8)</f>
        <v/>
      </c>
      <c r="J8" s="291" t="str">
        <f>IF(K8&gt;=1,I8,0)</f>
        <v/>
      </c>
      <c r="K8" s="292" t="str">
        <f>IF(ISBLANK(F8),"",IF(F8&gt;F7,2,IF(F8=F7,1,0)))</f>
        <v/>
      </c>
      <c r="L8" s="302" t="e">
        <f>K8+(H8/50000)</f>
        <v>#VALUE!</v>
      </c>
      <c r="M8" s="294" t="e">
        <f>IF(B8="_"," ",IF(M7="P","V","P"))</f>
        <v>#N/A</v>
      </c>
      <c r="N8" s="294" t="e">
        <f>B8</f>
        <v>#N/A</v>
      </c>
      <c r="P8" s="295"/>
      <c r="Q8" s="205" t="s">
        <v>791</v>
      </c>
      <c r="R8" s="205"/>
      <c r="S8" s="205"/>
      <c r="U8" s="295">
        <f>COUNTIF(Tour2,W8)</f>
        <v>0</v>
      </c>
      <c r="V8" s="295">
        <f t="shared" ref="V8:V9" si="0">AC8</f>
        <v>0</v>
      </c>
      <c r="W8" s="295">
        <f>W7</f>
        <v>0</v>
      </c>
      <c r="X8" s="295">
        <f>(IF($U8=1,VLOOKUP($W8,Tour2,4,FALSE),0))</f>
        <v>0</v>
      </c>
      <c r="Y8" s="295">
        <f>(IF($U8=1,VLOOKUP($W8,Tour2,5,FALSE),0))</f>
        <v>0</v>
      </c>
      <c r="Z8" s="295">
        <f>(IF($U8=1,VLOOKUP($W8,Tour2,6,FALSE),0))</f>
        <v>0</v>
      </c>
      <c r="AA8" s="295"/>
      <c r="AB8" s="295">
        <f>(IF($U8=1,VLOOKUP($W8,Tour2,8,FALSE),0))</f>
        <v>0</v>
      </c>
      <c r="AC8" s="295">
        <f>(IF($U8=1,VLOOKUP($W8,Tour2,9,FALSE),0))</f>
        <v>0</v>
      </c>
      <c r="AK8" s="338"/>
      <c r="AL8" s="82">
        <v>2</v>
      </c>
      <c r="AM8" s="83">
        <v>3</v>
      </c>
      <c r="AN8" s="83">
        <v>4</v>
      </c>
      <c r="AO8" s="84">
        <v>5</v>
      </c>
      <c r="AP8" s="81"/>
      <c r="AQ8" s="81"/>
      <c r="AR8" s="81"/>
      <c r="AS8" s="81"/>
      <c r="AT8" s="81"/>
      <c r="AU8" s="81"/>
      <c r="AV8" s="81"/>
      <c r="AX8" s="76">
        <v>6</v>
      </c>
      <c r="AY8" s="76"/>
      <c r="AZ8" s="76"/>
      <c r="BA8" s="208"/>
      <c r="BB8" s="69"/>
      <c r="BC8" s="69"/>
      <c r="BD8" s="76"/>
      <c r="BE8" s="76"/>
      <c r="BF8" s="76"/>
      <c r="BG8" s="76"/>
      <c r="BH8" s="76"/>
      <c r="BI8" s="76"/>
      <c r="BJ8" s="258"/>
      <c r="BK8" s="259"/>
      <c r="BL8" s="259"/>
      <c r="BM8" s="260">
        <v>5</v>
      </c>
      <c r="BS8" s="69"/>
      <c r="BT8" s="69"/>
    </row>
    <row r="9" spans="2:73" ht="21.95" customHeight="1" x14ac:dyDescent="0.25">
      <c r="D9" s="312" t="s">
        <v>43</v>
      </c>
      <c r="E9" s="312" t="s">
        <v>11</v>
      </c>
      <c r="F9" s="75" t="s">
        <v>38</v>
      </c>
      <c r="G9" s="312" t="s">
        <v>44</v>
      </c>
      <c r="H9" s="312" t="s">
        <v>45</v>
      </c>
      <c r="I9" s="206" t="s">
        <v>46</v>
      </c>
      <c r="J9" s="312"/>
      <c r="K9" s="312" t="s">
        <v>47</v>
      </c>
      <c r="L9" s="312"/>
      <c r="M9" s="293"/>
      <c r="N9" s="294"/>
      <c r="O9" s="295"/>
      <c r="P9" s="295"/>
      <c r="Q9" s="205" t="s">
        <v>792</v>
      </c>
      <c r="R9" s="205"/>
      <c r="S9" s="205"/>
      <c r="U9" s="295">
        <f>COUNTIF(Tour3,W9)</f>
        <v>0</v>
      </c>
      <c r="V9" s="295">
        <f t="shared" si="0"/>
        <v>0</v>
      </c>
      <c r="W9" s="295">
        <f>W8</f>
        <v>0</v>
      </c>
      <c r="X9" s="295">
        <f>(IF($U9=1,VLOOKUP($W9,Tour3,4,FALSE),0))</f>
        <v>0</v>
      </c>
      <c r="Y9" s="295">
        <f>(IF($U9=1,VLOOKUP($W9,Tour3,5,FALSE),0))</f>
        <v>0</v>
      </c>
      <c r="Z9" s="295">
        <f>(IF($U9=1,VLOOKUP($W9,Tour3,6,FALSE),0))</f>
        <v>0</v>
      </c>
      <c r="AA9" s="295"/>
      <c r="AB9" s="295">
        <f>(IF($U9=1,VLOOKUP($W9,Tour3,8,FALSE),0))</f>
        <v>0</v>
      </c>
      <c r="AC9" s="295">
        <f>(IF($U9=1,VLOOKUP($W9,Tour3,9,FALSE),0))</f>
        <v>0</v>
      </c>
      <c r="AG9" s="286"/>
      <c r="AH9" s="1"/>
      <c r="AK9" s="338"/>
      <c r="AL9" s="85"/>
      <c r="AM9" s="86"/>
      <c r="AN9" s="86"/>
      <c r="AO9" s="87"/>
      <c r="AP9" s="88"/>
      <c r="AQ9" s="88"/>
      <c r="AR9" s="88"/>
      <c r="AS9" s="88"/>
      <c r="AT9" s="88"/>
      <c r="AU9" s="88"/>
      <c r="AV9" s="88"/>
      <c r="AX9" s="76">
        <v>7</v>
      </c>
      <c r="AY9" s="76"/>
      <c r="AZ9" s="76"/>
      <c r="BA9" s="208" t="s">
        <v>52</v>
      </c>
      <c r="BB9" s="69">
        <f>IF(J10=J11,21,IF(J10&gt;J11,B10,B11))</f>
        <v>21</v>
      </c>
      <c r="BC9" s="69">
        <f>IF(K34+K35=0,21,IF(K34=2,B34,B35))</f>
        <v>21</v>
      </c>
      <c r="BD9" s="76"/>
      <c r="BE9" s="76"/>
      <c r="BF9" s="76"/>
      <c r="BG9" s="76"/>
      <c r="BH9" s="76"/>
      <c r="BI9" s="76"/>
      <c r="BJ9" s="252">
        <v>2</v>
      </c>
      <c r="BK9" s="253">
        <v>3</v>
      </c>
      <c r="BL9" s="253">
        <v>4</v>
      </c>
      <c r="BM9" s="254">
        <v>5</v>
      </c>
      <c r="BS9" s="69"/>
      <c r="BT9" s="69"/>
    </row>
    <row r="10" spans="2:73" ht="21.95" customHeight="1" x14ac:dyDescent="0.25">
      <c r="B10" s="317" t="e">
        <f>HLOOKUP($B$4,Scenario1,8,FALSE)</f>
        <v>#N/A</v>
      </c>
      <c r="C10" s="321" t="e">
        <f>VLOOKUP($B10,joueurs,3,FALSE)</f>
        <v>#N/A</v>
      </c>
      <c r="D10" s="71" t="e">
        <f>VLOOKUP($B10,joueurs,2,FALSE)</f>
        <v>#N/A</v>
      </c>
      <c r="E10" s="335" t="e">
        <f>HLOOKUP($B$4,TourDeJeu,34,FALSE)</f>
        <v>#N/A</v>
      </c>
      <c r="F10" s="288"/>
      <c r="G10" s="289"/>
      <c r="H10" s="289"/>
      <c r="I10" s="290" t="str">
        <f>IF(G10="","",F10/G10)</f>
        <v/>
      </c>
      <c r="J10" s="291" t="str">
        <f>IF(K10&gt;=1,I10,0)</f>
        <v/>
      </c>
      <c r="K10" s="292" t="str">
        <f>IF(ISBLANK(F10),"",IF(F10&gt;F11,2,IF(F10=F11,1,0)))</f>
        <v/>
      </c>
      <c r="L10" s="302"/>
      <c r="M10" s="294" t="e">
        <f>IF(B10="_"," ",IF(OR(AND(K10=1,B10&gt;B11),(K10=2),(L10&gt;L11)),"V","P"))</f>
        <v>#N/A</v>
      </c>
      <c r="N10" s="294"/>
      <c r="O10" s="295"/>
      <c r="P10" s="295"/>
      <c r="R10" s="205"/>
      <c r="S10" s="205"/>
      <c r="U10" s="295"/>
      <c r="V10" s="295"/>
      <c r="W10" s="295"/>
      <c r="X10" s="295"/>
      <c r="Y10" s="295"/>
      <c r="Z10" s="295"/>
      <c r="AA10" s="295"/>
      <c r="AB10" s="295"/>
      <c r="AC10" s="295"/>
      <c r="AG10" s="286"/>
      <c r="AH10" s="1"/>
      <c r="AK10" s="338"/>
      <c r="AL10" s="82" t="s">
        <v>784</v>
      </c>
      <c r="AM10" s="83" t="s">
        <v>784</v>
      </c>
      <c r="AN10" s="83">
        <v>3</v>
      </c>
      <c r="AO10" s="84">
        <v>3</v>
      </c>
      <c r="AP10" s="81"/>
      <c r="AQ10" s="81"/>
      <c r="AR10" s="81"/>
      <c r="AS10" s="81"/>
      <c r="AT10" s="81"/>
      <c r="AU10" s="81"/>
      <c r="AV10" s="81"/>
      <c r="AX10" s="76">
        <v>8</v>
      </c>
      <c r="AY10" s="76"/>
      <c r="AZ10" s="76"/>
      <c r="BA10" s="208" t="s">
        <v>42</v>
      </c>
      <c r="BB10" s="69">
        <f>IF(J11=J10,20,IF(J11&lt;J10,B11,B10))</f>
        <v>20</v>
      </c>
      <c r="BC10" s="69">
        <f>IF(K38+K37=0,20,IF(K38=2,B37,B38))</f>
        <v>20</v>
      </c>
      <c r="BD10" s="76"/>
      <c r="BE10" s="76"/>
      <c r="BF10" s="76"/>
      <c r="BG10" s="76"/>
      <c r="BH10" s="76"/>
      <c r="BI10" s="76"/>
      <c r="BJ10" s="255">
        <v>1</v>
      </c>
      <c r="BK10" s="256">
        <v>2</v>
      </c>
      <c r="BL10" s="256">
        <v>3</v>
      </c>
      <c r="BM10" s="257">
        <v>4</v>
      </c>
      <c r="BS10" s="69"/>
      <c r="BT10" s="69"/>
    </row>
    <row r="11" spans="2:73" ht="21.95" customHeight="1" thickBot="1" x14ac:dyDescent="0.3">
      <c r="B11" s="317" t="e">
        <f>HLOOKUP($B$4,Scenario1,9,FALSE)</f>
        <v>#N/A</v>
      </c>
      <c r="C11" s="321" t="e">
        <f>VLOOKUP($B11,joueurs,3,FALSE)</f>
        <v>#N/A</v>
      </c>
      <c r="D11" s="71" t="e">
        <f>VLOOKUP($B11,joueurs,2,FALSE)</f>
        <v>#N/A</v>
      </c>
      <c r="E11" s="336"/>
      <c r="F11" s="288"/>
      <c r="G11" s="296" t="str">
        <f>IF(G10="","",G10)</f>
        <v/>
      </c>
      <c r="H11" s="289"/>
      <c r="I11" s="290" t="str">
        <f>IF(G11="","",F11/G11)</f>
        <v/>
      </c>
      <c r="J11" s="291" t="str">
        <f>IF(K11&gt;=1,I11,0)</f>
        <v/>
      </c>
      <c r="K11" s="292" t="str">
        <f>IF(ISBLANK(F11),"",IF(F11&gt;F10,2,IF(F11=F10,1,0)))</f>
        <v/>
      </c>
      <c r="L11" s="302"/>
      <c r="M11" s="294" t="e">
        <f>IF(B10="_"," ",IF(M10="P","V","P"))</f>
        <v>#N/A</v>
      </c>
      <c r="N11" s="294"/>
      <c r="O11" s="295"/>
      <c r="P11" s="295"/>
      <c r="R11" s="205"/>
      <c r="S11" s="205"/>
      <c r="AG11" s="286"/>
      <c r="AH11" s="1"/>
      <c r="AK11" s="338"/>
      <c r="AL11" s="89" t="s">
        <v>784</v>
      </c>
      <c r="AM11" s="90" t="s">
        <v>784</v>
      </c>
      <c r="AN11" s="90">
        <v>2</v>
      </c>
      <c r="AO11" s="91">
        <v>4</v>
      </c>
      <c r="AP11" s="81"/>
      <c r="AQ11" s="81"/>
      <c r="AR11" s="81"/>
      <c r="AS11" s="81"/>
      <c r="AT11" s="81"/>
      <c r="AU11" s="81"/>
      <c r="AV11" s="81"/>
      <c r="AX11" s="76">
        <v>9</v>
      </c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255"/>
      <c r="BK11" s="256">
        <v>1</v>
      </c>
      <c r="BL11" s="256">
        <v>2</v>
      </c>
      <c r="BM11" s="257">
        <v>3</v>
      </c>
      <c r="BS11" s="69"/>
      <c r="BT11" s="69"/>
    </row>
    <row r="12" spans="2:73" ht="21.95" customHeight="1" x14ac:dyDescent="0.25">
      <c r="D12" s="311"/>
      <c r="E12" s="311"/>
      <c r="F12" s="297"/>
      <c r="G12" s="298"/>
      <c r="H12" s="299"/>
      <c r="I12" s="300"/>
      <c r="J12" s="301"/>
      <c r="K12" s="302"/>
      <c r="L12" s="302"/>
      <c r="M12" s="293"/>
      <c r="N12" s="294"/>
      <c r="O12" s="295"/>
      <c r="P12" s="295"/>
      <c r="Q12" s="205" t="s">
        <v>790</v>
      </c>
      <c r="R12" s="205"/>
      <c r="S12" s="205"/>
      <c r="U12" s="295">
        <f>COUNTIF(Tour1,W12)</f>
        <v>0</v>
      </c>
      <c r="V12" s="295">
        <f>AC12</f>
        <v>0</v>
      </c>
      <c r="W12" s="295">
        <f>Tirage!C7</f>
        <v>0</v>
      </c>
      <c r="X12" s="295">
        <f>(IF($U12=1,VLOOKUP($W12,Tour1,4,FALSE),0))</f>
        <v>0</v>
      </c>
      <c r="Y12" s="295">
        <f>(IF($U12=1,VLOOKUP($W12,Tour1,5,FALSE),0))</f>
        <v>0</v>
      </c>
      <c r="Z12" s="295">
        <f>(IF($U12=1,VLOOKUP($W12,Tour1,6,FALSE),0))</f>
        <v>0</v>
      </c>
      <c r="AA12" s="295">
        <f>(IF($U12=1,VLOOKUP($W12,Tour1,7,FALSE),0))</f>
        <v>0</v>
      </c>
      <c r="AB12" s="295">
        <f>(IF($U12=1,VLOOKUP($W12,Tour1,8,FALSE),0))</f>
        <v>0</v>
      </c>
      <c r="AC12" s="295">
        <f>(IF($U12=1,VLOOKUP($W12,Tour1,9,FALSE),0))</f>
        <v>0</v>
      </c>
      <c r="AK12" s="338" t="s">
        <v>54</v>
      </c>
      <c r="AL12" s="78">
        <v>2</v>
      </c>
      <c r="AM12" s="79">
        <v>1</v>
      </c>
      <c r="AN12" s="79">
        <v>1</v>
      </c>
      <c r="AO12" s="80">
        <v>2</v>
      </c>
      <c r="AP12" s="81"/>
      <c r="AQ12" s="81"/>
      <c r="AR12" s="81"/>
      <c r="AS12" s="81"/>
      <c r="AT12" s="81"/>
      <c r="AU12" s="81"/>
      <c r="AV12" s="81"/>
      <c r="AX12" s="76">
        <v>10</v>
      </c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255"/>
      <c r="BK12" s="256"/>
      <c r="BL12" s="256">
        <v>1</v>
      </c>
      <c r="BM12" s="257">
        <v>2</v>
      </c>
      <c r="BP12" s="208">
        <v>3</v>
      </c>
      <c r="BQ12" s="69"/>
      <c r="BR12" s="70"/>
      <c r="BS12" s="70"/>
      <c r="BT12" s="70"/>
    </row>
    <row r="13" spans="2:73" ht="21.95" customHeight="1" thickBot="1" x14ac:dyDescent="0.3">
      <c r="D13" s="342" t="e">
        <f>HLOOKUP($B$4,TourDeJeu,28,FALSE)</f>
        <v>#N/A</v>
      </c>
      <c r="E13" s="343"/>
      <c r="F13" s="343"/>
      <c r="G13" s="343"/>
      <c r="H13" s="343"/>
      <c r="I13" s="343"/>
      <c r="J13" s="343"/>
      <c r="K13" s="344"/>
      <c r="L13" s="320"/>
      <c r="M13" s="285"/>
      <c r="N13" s="76"/>
      <c r="O13" s="94"/>
      <c r="P13" s="94"/>
      <c r="Q13" s="205" t="s">
        <v>791</v>
      </c>
      <c r="R13" s="205"/>
      <c r="S13" s="205"/>
      <c r="U13" s="295">
        <f>COUNTIF(Tour2,W13)</f>
        <v>0</v>
      </c>
      <c r="V13" s="295">
        <f t="shared" ref="V13:V14" si="1">AC13</f>
        <v>0</v>
      </c>
      <c r="W13" s="295">
        <f>W12</f>
        <v>0</v>
      </c>
      <c r="X13" s="295">
        <f>(IF($U13=1,VLOOKUP($W13,Tour2,4,FALSE),0))</f>
        <v>0</v>
      </c>
      <c r="Y13" s="295">
        <f>(IF($U13=1,VLOOKUP($W13,Tour2,5,FALSE),0))</f>
        <v>0</v>
      </c>
      <c r="Z13" s="295">
        <f>(IF($U13=1,VLOOKUP($W13,Tour2,6,FALSE),0))</f>
        <v>0</v>
      </c>
      <c r="AA13" s="295"/>
      <c r="AB13" s="295">
        <f>(IF($U13=1,VLOOKUP($W13,Tour2,8,FALSE),0))</f>
        <v>0</v>
      </c>
      <c r="AC13" s="295">
        <f>(IF($U13=1,VLOOKUP($W13,Tour2,9,FALSE),0))</f>
        <v>0</v>
      </c>
      <c r="AK13" s="338"/>
      <c r="AL13" s="82">
        <v>1</v>
      </c>
      <c r="AM13" s="83" t="e">
        <f>VLOOKUP("P",M7:N8,2,FALSE)</f>
        <v>#N/A</v>
      </c>
      <c r="AN13" s="83">
        <v>2</v>
      </c>
      <c r="AO13" s="84">
        <v>3</v>
      </c>
      <c r="AP13" s="81"/>
      <c r="AQ13" s="81"/>
      <c r="AR13" s="81"/>
      <c r="AS13" s="81"/>
      <c r="AT13" s="81"/>
      <c r="AU13" s="81"/>
      <c r="AV13" s="81"/>
      <c r="AW13" s="76">
        <v>5</v>
      </c>
      <c r="AX13" s="76">
        <v>11</v>
      </c>
      <c r="AY13" s="76"/>
      <c r="AZ13" s="76"/>
      <c r="BA13" s="76" t="s">
        <v>55</v>
      </c>
      <c r="BB13" s="76" t="e">
        <f>VLOOKUP($BA$13,$AY$37:$BA$39,3,FALSE)</f>
        <v>#N/A</v>
      </c>
      <c r="BC13" s="76" t="str">
        <f t="shared" ref="BC13:BC18" si="2">IF(ISERROR(BB13),"@",BB13)</f>
        <v>@</v>
      </c>
      <c r="BD13" s="76"/>
      <c r="BE13" s="76"/>
      <c r="BF13" s="76"/>
      <c r="BG13" s="76"/>
      <c r="BH13" s="76"/>
      <c r="BI13" s="76"/>
      <c r="BJ13" s="258"/>
      <c r="BK13" s="259"/>
      <c r="BL13" s="259"/>
      <c r="BM13" s="260">
        <v>1</v>
      </c>
      <c r="BP13" s="208"/>
      <c r="BQ13" s="69"/>
      <c r="BR13" s="70"/>
      <c r="BS13" s="70"/>
      <c r="BT13" s="70"/>
    </row>
    <row r="14" spans="2:73" ht="21.95" customHeight="1" x14ac:dyDescent="0.25">
      <c r="D14" s="312" t="s">
        <v>795</v>
      </c>
      <c r="E14" s="312" t="s">
        <v>11</v>
      </c>
      <c r="F14" s="75" t="s">
        <v>38</v>
      </c>
      <c r="G14" s="312" t="s">
        <v>44</v>
      </c>
      <c r="H14" s="312" t="s">
        <v>45</v>
      </c>
      <c r="I14" s="206" t="s">
        <v>46</v>
      </c>
      <c r="J14" s="312"/>
      <c r="K14" s="312" t="s">
        <v>47</v>
      </c>
      <c r="L14" s="312"/>
      <c r="M14" s="293"/>
      <c r="N14" s="294"/>
      <c r="O14" s="295"/>
      <c r="P14" s="295"/>
      <c r="Q14" s="205" t="s">
        <v>792</v>
      </c>
      <c r="R14" s="205"/>
      <c r="S14" s="205"/>
      <c r="U14" s="295">
        <f>COUNTIF(Tour3,W14)</f>
        <v>0</v>
      </c>
      <c r="V14" s="295">
        <f t="shared" si="1"/>
        <v>0</v>
      </c>
      <c r="W14" s="295">
        <f>W13</f>
        <v>0</v>
      </c>
      <c r="X14" s="295">
        <f>(IF($U14=1,VLOOKUP($W14,Tour3,4,FALSE),0))</f>
        <v>0</v>
      </c>
      <c r="Y14" s="295">
        <f>(IF($U14=1,VLOOKUP($W14,Tour3,5,FALSE),0))</f>
        <v>0</v>
      </c>
      <c r="Z14" s="295">
        <f>(IF($U14=1,VLOOKUP($W14,Tour3,6,FALSE),0))</f>
        <v>0</v>
      </c>
      <c r="AA14" s="295"/>
      <c r="AB14" s="295">
        <f>(IF($U14=1,VLOOKUP($W14,Tour3,8,FALSE),0))</f>
        <v>0</v>
      </c>
      <c r="AC14" s="295">
        <f>(IF($U14=1,VLOOKUP($W14,Tour3,9,FALSE),0))</f>
        <v>0</v>
      </c>
      <c r="AG14" s="286"/>
      <c r="AH14" s="1"/>
      <c r="AK14" s="338"/>
      <c r="AL14" s="85"/>
      <c r="AM14" s="86"/>
      <c r="AN14" s="86"/>
      <c r="AO14" s="87"/>
      <c r="AP14" s="88"/>
      <c r="AQ14" s="88"/>
      <c r="AR14" s="88"/>
      <c r="AS14" s="88"/>
      <c r="AT14" s="88"/>
      <c r="AU14" s="88"/>
      <c r="AV14" s="88"/>
      <c r="AW14" s="76">
        <v>6</v>
      </c>
      <c r="AX14" s="76">
        <v>12</v>
      </c>
      <c r="AY14" s="76"/>
      <c r="AZ14" s="76"/>
      <c r="BA14" s="76" t="s">
        <v>56</v>
      </c>
      <c r="BB14" s="76" t="e">
        <f>VLOOKUP(BA14,AY40:BA42,3,FALSE)</f>
        <v>#N/A</v>
      </c>
      <c r="BC14" s="76" t="str">
        <f t="shared" si="2"/>
        <v>@</v>
      </c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P14" s="208"/>
      <c r="BQ14" s="69"/>
      <c r="BR14" s="70"/>
      <c r="BS14" s="70"/>
      <c r="BT14" s="70"/>
    </row>
    <row r="15" spans="2:73" ht="21.95" customHeight="1" x14ac:dyDescent="0.25">
      <c r="B15" s="315" t="e">
        <f>HLOOKUP($B$4,Scenario1,10,FALSE)</f>
        <v>#N/A</v>
      </c>
      <c r="C15" s="321" t="e">
        <f>VLOOKUP($B15,joueurs,3,FALSE)</f>
        <v>#N/A</v>
      </c>
      <c r="D15" s="71" t="e">
        <f>VLOOKUP($B15,joueurs,2,FALSE)</f>
        <v>#N/A</v>
      </c>
      <c r="E15" s="335" t="e">
        <f>HLOOKUP($B$4,TourDeJeu,35,FALSE)</f>
        <v>#N/A</v>
      </c>
      <c r="F15" s="288"/>
      <c r="G15" s="289"/>
      <c r="H15" s="289"/>
      <c r="I15" s="290" t="str">
        <f>IF(G15="","",F15/G15)</f>
        <v/>
      </c>
      <c r="J15" s="291" t="str">
        <f>IF(K15&gt;=1,I15,0)</f>
        <v/>
      </c>
      <c r="K15" s="292" t="str">
        <f>IF(ISBLANK(F15),"",IF(F15&gt;F16,2,IF(F15=F16,1,0)))</f>
        <v/>
      </c>
      <c r="L15" s="302"/>
      <c r="M15" s="294" t="e">
        <f>IF(B15="_"," ",IF(OR(AND(K15=1,B15&gt;B16),(K15=2),(L15&gt;L16)),"V","P"))</f>
        <v>#N/A</v>
      </c>
      <c r="N15" s="294"/>
      <c r="O15" s="295"/>
      <c r="P15" s="295"/>
      <c r="R15" s="205"/>
      <c r="S15" s="205"/>
      <c r="U15" s="295"/>
      <c r="V15" s="295"/>
      <c r="W15" s="295"/>
      <c r="X15" s="295"/>
      <c r="Y15" s="295"/>
      <c r="Z15" s="295"/>
      <c r="AA15" s="295"/>
      <c r="AB15" s="295"/>
      <c r="AC15" s="295"/>
      <c r="AG15" s="286"/>
      <c r="AH15" s="1"/>
      <c r="AK15" s="338"/>
      <c r="AL15" s="82" t="s">
        <v>784</v>
      </c>
      <c r="AM15" s="83" t="s">
        <v>784</v>
      </c>
      <c r="AN15" s="83">
        <v>3</v>
      </c>
      <c r="AO15" s="84">
        <v>1</v>
      </c>
      <c r="AP15" s="81"/>
      <c r="AQ15" s="81"/>
      <c r="AR15" s="81"/>
      <c r="AS15" s="81"/>
      <c r="AT15" s="81"/>
      <c r="AU15" s="81"/>
      <c r="AV15" s="81"/>
      <c r="AW15" s="76">
        <v>4</v>
      </c>
      <c r="AX15" s="76">
        <v>13</v>
      </c>
      <c r="AY15" s="76"/>
      <c r="AZ15" s="76"/>
      <c r="BA15" s="76" t="s">
        <v>57</v>
      </c>
      <c r="BB15" s="76" t="e">
        <f>VLOOKUP($BA$15,$AY$37:$BA$39,3,FALSE)</f>
        <v>#N/A</v>
      </c>
      <c r="BC15" s="76" t="str">
        <f t="shared" si="2"/>
        <v>@</v>
      </c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P15" s="208"/>
      <c r="BQ15" s="69"/>
      <c r="BR15" s="70"/>
      <c r="BS15" s="70"/>
      <c r="BT15" s="70"/>
    </row>
    <row r="16" spans="2:73" ht="21.95" customHeight="1" thickBot="1" x14ac:dyDescent="0.3">
      <c r="B16" s="315" t="e">
        <f>HLOOKUP($B$4,Scenario1,11,FALSE)</f>
        <v>#N/A</v>
      </c>
      <c r="C16" s="321" t="e">
        <f>VLOOKUP($B16,joueurs,3,FALSE)</f>
        <v>#N/A</v>
      </c>
      <c r="D16" s="71" t="e">
        <f>VLOOKUP($B16,joueurs,2,FALSE)</f>
        <v>#N/A</v>
      </c>
      <c r="E16" s="336"/>
      <c r="F16" s="288"/>
      <c r="G16" s="296" t="str">
        <f>IF(G15="","",G15)</f>
        <v/>
      </c>
      <c r="H16" s="289"/>
      <c r="I16" s="290" t="str">
        <f>IF(G16="","",F16/G16)</f>
        <v/>
      </c>
      <c r="J16" s="291" t="str">
        <f>IF(K16&gt;=1,I16,0)</f>
        <v/>
      </c>
      <c r="K16" s="292" t="str">
        <f>IF(ISBLANK(F16),"",IF(F16&gt;F15,2,IF(F16=F15,1,0)))</f>
        <v/>
      </c>
      <c r="L16" s="302"/>
      <c r="M16" s="294" t="e">
        <f>IF(B16="_"," ",IF(M15="P","V","P"))</f>
        <v>#N/A</v>
      </c>
      <c r="N16" s="294"/>
      <c r="O16" s="295"/>
      <c r="P16" s="295"/>
      <c r="R16" s="205"/>
      <c r="S16" s="205"/>
      <c r="AK16" s="338"/>
      <c r="AL16" s="89" t="s">
        <v>784</v>
      </c>
      <c r="AM16" s="90" t="s">
        <v>784</v>
      </c>
      <c r="AN16" s="90">
        <v>4</v>
      </c>
      <c r="AO16" s="91">
        <v>5</v>
      </c>
      <c r="AP16" s="81"/>
      <c r="AQ16" s="81"/>
      <c r="AR16" s="81"/>
      <c r="AS16" s="81"/>
      <c r="AT16" s="81"/>
      <c r="AU16" s="81"/>
      <c r="AV16" s="81"/>
      <c r="AW16" s="76">
        <v>7</v>
      </c>
      <c r="AX16" s="76">
        <v>14</v>
      </c>
      <c r="AY16" s="76"/>
      <c r="AZ16" s="76"/>
      <c r="BA16" s="76" t="s">
        <v>58</v>
      </c>
      <c r="BB16" s="76" t="e">
        <f>VLOOKUP(BA16,AY40:BA42,3,FALSE)</f>
        <v>#N/A</v>
      </c>
      <c r="BC16" s="76" t="str">
        <f t="shared" si="2"/>
        <v>@</v>
      </c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P16" s="208"/>
      <c r="BQ16" s="69"/>
      <c r="BR16" s="70"/>
      <c r="BS16" s="70"/>
      <c r="BT16" s="70"/>
    </row>
    <row r="17" spans="1:72" ht="21.95" customHeight="1" x14ac:dyDescent="0.25">
      <c r="D17" s="312" t="s">
        <v>43</v>
      </c>
      <c r="E17" s="312" t="s">
        <v>11</v>
      </c>
      <c r="F17" s="75" t="s">
        <v>38</v>
      </c>
      <c r="G17" s="312" t="s">
        <v>44</v>
      </c>
      <c r="H17" s="312" t="s">
        <v>45</v>
      </c>
      <c r="I17" s="206" t="s">
        <v>46</v>
      </c>
      <c r="J17" s="312"/>
      <c r="K17" s="312" t="s">
        <v>47</v>
      </c>
      <c r="L17" s="312"/>
      <c r="M17" s="293"/>
      <c r="N17" s="294"/>
      <c r="O17" s="295"/>
      <c r="P17" s="295"/>
      <c r="Q17" s="205" t="s">
        <v>790</v>
      </c>
      <c r="R17" s="205"/>
      <c r="S17" s="205"/>
      <c r="U17" s="295">
        <f>COUNTIF(Tour1,W17)</f>
        <v>0</v>
      </c>
      <c r="V17" s="295">
        <f>AC17</f>
        <v>0</v>
      </c>
      <c r="W17" s="295">
        <f>Tirage!C8</f>
        <v>0</v>
      </c>
      <c r="X17" s="295">
        <f>(IF($U17=1,VLOOKUP($W17,Tour1,4,FALSE),0))</f>
        <v>0</v>
      </c>
      <c r="Y17" s="295">
        <f>(IF($U17=1,VLOOKUP($W17,Tour1,5,FALSE),0))</f>
        <v>0</v>
      </c>
      <c r="Z17" s="295">
        <f>(IF($U17=1,VLOOKUP($W17,Tour1,6,FALSE),0))</f>
        <v>0</v>
      </c>
      <c r="AA17" s="295">
        <f>(IF($U17=1,VLOOKUP($W17,Tour1,7,FALSE),0))</f>
        <v>0</v>
      </c>
      <c r="AB17" s="295">
        <f>(IF($U17=1,VLOOKUP($W17,Tour1,8,FALSE),0))</f>
        <v>0</v>
      </c>
      <c r="AC17" s="295">
        <f>(IF($U17=1,VLOOKUP($W17,Tour1,9,FALSE),0))</f>
        <v>0</v>
      </c>
      <c r="AG17" s="286"/>
      <c r="AH17" s="1"/>
      <c r="AK17" s="338" t="s">
        <v>50</v>
      </c>
      <c r="AL17" s="78" t="s">
        <v>784</v>
      </c>
      <c r="AM17" s="79">
        <v>1</v>
      </c>
      <c r="AN17" s="79" t="s">
        <v>784</v>
      </c>
      <c r="AO17" s="80">
        <v>1</v>
      </c>
      <c r="AP17" s="81"/>
      <c r="AQ17" s="81"/>
      <c r="AR17" s="81"/>
      <c r="AS17" s="81"/>
      <c r="AT17" s="81"/>
      <c r="AU17" s="81"/>
      <c r="AV17" s="81"/>
      <c r="AW17" s="76">
        <v>4</v>
      </c>
      <c r="AX17" s="76">
        <v>15</v>
      </c>
      <c r="AY17" s="76"/>
      <c r="AZ17" s="76"/>
      <c r="BA17" s="76" t="s">
        <v>59</v>
      </c>
      <c r="BB17" s="76" t="e">
        <f>VLOOKUP($BA$17,$AY$37:$BA$39,3,FALSE)</f>
        <v>#N/A</v>
      </c>
      <c r="BC17" s="76" t="str">
        <f t="shared" si="2"/>
        <v>@</v>
      </c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P17" s="208"/>
      <c r="BQ17" s="69"/>
      <c r="BR17" s="70"/>
      <c r="BS17" s="70"/>
      <c r="BT17" s="70"/>
    </row>
    <row r="18" spans="1:72" ht="21.95" customHeight="1" x14ac:dyDescent="0.25">
      <c r="B18" s="315" t="e">
        <f>HLOOKUP($B$4,Scenario1,13,FALSE)</f>
        <v>#N/A</v>
      </c>
      <c r="C18" s="321" t="e">
        <f>VLOOKUP($B18,joueurs,3,FALSE)</f>
        <v>#N/A</v>
      </c>
      <c r="D18" s="71" t="e">
        <f>VLOOKUP($B18,joueurs,2,FALSE)</f>
        <v>#N/A</v>
      </c>
      <c r="E18" s="335" t="e">
        <f>HLOOKUP($B$4,TourDeJeu,36,FALSE)</f>
        <v>#N/A</v>
      </c>
      <c r="F18" s="288"/>
      <c r="G18" s="289"/>
      <c r="H18" s="289"/>
      <c r="I18" s="290" t="str">
        <f>IF(G18="","",F18/G18)</f>
        <v/>
      </c>
      <c r="J18" s="291" t="str">
        <f>IF(K18&gt;=1,I18,0)</f>
        <v/>
      </c>
      <c r="K18" s="292" t="str">
        <f>IF(ISBLANK(F18),"",IF(F18&gt;F19,2,IF(F18=F19,1,0)))</f>
        <v/>
      </c>
      <c r="L18" s="302"/>
      <c r="M18" s="294" t="e">
        <f>IF(B18="_"," ",IF(OR(AND(K18=1,B18&gt;B19),(K18=2),(L18&gt;L19)),"V","P"))</f>
        <v>#N/A</v>
      </c>
      <c r="N18" s="294"/>
      <c r="O18" s="295"/>
      <c r="P18" s="295"/>
      <c r="Q18" s="205" t="s">
        <v>791</v>
      </c>
      <c r="R18" s="205"/>
      <c r="S18" s="205"/>
      <c r="U18" s="295">
        <f>COUNTIF(Tour2,W18)</f>
        <v>0</v>
      </c>
      <c r="V18" s="295">
        <f t="shared" ref="V18:V19" si="3">AC18</f>
        <v>0</v>
      </c>
      <c r="W18" s="295">
        <f>W17</f>
        <v>0</v>
      </c>
      <c r="X18" s="295">
        <f>(IF($U18=1,VLOOKUP($W18,Tour2,4,FALSE),0))</f>
        <v>0</v>
      </c>
      <c r="Y18" s="295">
        <f>(IF($U18=1,VLOOKUP($W18,Tour2,5,FALSE),0))</f>
        <v>0</v>
      </c>
      <c r="Z18" s="295">
        <f>(IF($U18=1,VLOOKUP($W18,Tour2,6,FALSE),0))</f>
        <v>0</v>
      </c>
      <c r="AA18" s="295"/>
      <c r="AB18" s="295">
        <f>(IF($U18=1,VLOOKUP($W18,Tour2,8,FALSE),0))</f>
        <v>0</v>
      </c>
      <c r="AC18" s="295">
        <f>(IF($U18=1,VLOOKUP($W18,Tour2,9,FALSE),0))</f>
        <v>0</v>
      </c>
      <c r="AG18" s="286"/>
      <c r="AH18" s="1"/>
      <c r="AK18" s="338"/>
      <c r="AL18" s="82" t="s">
        <v>784</v>
      </c>
      <c r="AM18" s="83" t="e">
        <f>VLOOKUP("V",M7:N8,2,FALSE)</f>
        <v>#N/A</v>
      </c>
      <c r="AN18" s="83" t="s">
        <v>784</v>
      </c>
      <c r="AO18" s="84">
        <v>4</v>
      </c>
      <c r="AP18" s="81"/>
      <c r="AQ18" s="81"/>
      <c r="AR18" s="81"/>
      <c r="AS18" s="81"/>
      <c r="AT18" s="81"/>
      <c r="AU18" s="81"/>
      <c r="AV18" s="81"/>
      <c r="AW18" s="76">
        <v>5</v>
      </c>
      <c r="AX18" s="76">
        <v>16</v>
      </c>
      <c r="AY18" s="76"/>
      <c r="AZ18" s="76"/>
      <c r="BA18" s="76" t="s">
        <v>60</v>
      </c>
      <c r="BB18" s="76" t="e">
        <f>VLOOKUP(BA18,AY40:BA42,3,FALSE)</f>
        <v>#N/A</v>
      </c>
      <c r="BC18" s="76" t="str">
        <f t="shared" si="2"/>
        <v>@</v>
      </c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P18" s="208"/>
      <c r="BQ18" s="69"/>
      <c r="BR18" s="70"/>
      <c r="BS18" s="70"/>
      <c r="BT18" s="70"/>
    </row>
    <row r="19" spans="1:72" ht="21.95" customHeight="1" x14ac:dyDescent="0.25">
      <c r="B19" s="315" t="e">
        <f>HLOOKUP($B$4,Scenario1,14,FALSE)</f>
        <v>#N/A</v>
      </c>
      <c r="C19" s="321" t="e">
        <f>VLOOKUP($B19,joueurs,3,FALSE)</f>
        <v>#N/A</v>
      </c>
      <c r="D19" s="71" t="e">
        <f>VLOOKUP($B19,joueurs,2,FALSE)</f>
        <v>#N/A</v>
      </c>
      <c r="E19" s="336"/>
      <c r="F19" s="288"/>
      <c r="G19" s="296" t="str">
        <f>IF(G18="","",G18)</f>
        <v/>
      </c>
      <c r="H19" s="289"/>
      <c r="I19" s="290" t="str">
        <f>IF(G19="","",F19/G19)</f>
        <v/>
      </c>
      <c r="J19" s="291" t="str">
        <f>IF(K19&gt;=1,I19,0)</f>
        <v/>
      </c>
      <c r="K19" s="292" t="str">
        <f>IF(ISBLANK(F19),"",IF(F19&gt;F18,2,IF(F19=F18,1,0)))</f>
        <v/>
      </c>
      <c r="L19" s="302"/>
      <c r="M19" s="294" t="e">
        <f>IF(B18="_"," ",IF(M18="P","V","P"))</f>
        <v>#N/A</v>
      </c>
      <c r="N19" s="294"/>
      <c r="O19" s="295"/>
      <c r="P19" s="295"/>
      <c r="Q19" s="205" t="s">
        <v>792</v>
      </c>
      <c r="R19" s="205"/>
      <c r="S19" s="205"/>
      <c r="U19" s="295">
        <f>COUNTIF(Tour3,W19)</f>
        <v>0</v>
      </c>
      <c r="V19" s="295">
        <f t="shared" si="3"/>
        <v>0</v>
      </c>
      <c r="W19" s="295">
        <f>W18</f>
        <v>0</v>
      </c>
      <c r="X19" s="295">
        <f>(IF($U19=1,VLOOKUP($W19,Tour3,4,FALSE),0))</f>
        <v>0</v>
      </c>
      <c r="Y19" s="295">
        <f>(IF($U19=1,VLOOKUP($W19,Tour3,5,FALSE),0))</f>
        <v>0</v>
      </c>
      <c r="Z19" s="295">
        <f>(IF($U19=1,VLOOKUP($W19,Tour3,6,FALSE),0))</f>
        <v>0</v>
      </c>
      <c r="AA19" s="295"/>
      <c r="AB19" s="295">
        <f>(IF($U19=1,VLOOKUP($W19,Tour3,8,FALSE),0))</f>
        <v>0</v>
      </c>
      <c r="AC19" s="295">
        <f>(IF($U19=1,VLOOKUP($W19,Tour3,9,FALSE),0))</f>
        <v>0</v>
      </c>
      <c r="AG19" s="286"/>
      <c r="AH19" s="1"/>
      <c r="AK19" s="338"/>
      <c r="AL19" s="85"/>
      <c r="AM19" s="86"/>
      <c r="AN19" s="86"/>
      <c r="AO19" s="87"/>
      <c r="AP19" s="88"/>
      <c r="AQ19" s="88"/>
      <c r="AR19" s="88"/>
      <c r="AS19" s="88"/>
      <c r="AT19" s="88"/>
      <c r="AU19" s="88"/>
      <c r="AV19" s="88"/>
      <c r="AW19" s="76">
        <v>6</v>
      </c>
      <c r="AX19" s="76">
        <v>17</v>
      </c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P19" s="208"/>
      <c r="BQ19" s="69"/>
      <c r="BR19" s="70"/>
      <c r="BS19" s="70"/>
      <c r="BT19" s="70"/>
    </row>
    <row r="20" spans="1:72" ht="21.95" customHeight="1" x14ac:dyDescent="0.25">
      <c r="D20" s="303"/>
      <c r="E20" s="303"/>
      <c r="F20" s="304"/>
      <c r="G20" s="295"/>
      <c r="H20" s="295"/>
      <c r="I20" s="305"/>
      <c r="J20" s="295"/>
      <c r="K20" s="295"/>
      <c r="L20" s="295"/>
      <c r="M20" s="293"/>
      <c r="N20" s="294"/>
      <c r="O20" s="295"/>
      <c r="P20" s="295"/>
      <c r="R20" s="76"/>
      <c r="S20" s="76"/>
      <c r="T20" s="94"/>
      <c r="U20" s="295"/>
      <c r="V20" s="295"/>
      <c r="W20" s="295"/>
      <c r="X20" s="295"/>
      <c r="Y20" s="295"/>
      <c r="Z20" s="295"/>
      <c r="AA20" s="295"/>
      <c r="AB20" s="295"/>
      <c r="AC20" s="295"/>
      <c r="AK20" s="338"/>
      <c r="AL20" s="82" t="s">
        <v>784</v>
      </c>
      <c r="AM20" s="83" t="s">
        <v>784</v>
      </c>
      <c r="AN20" s="83" t="s">
        <v>784</v>
      </c>
      <c r="AO20" s="84" t="s">
        <v>784</v>
      </c>
      <c r="AP20" s="81"/>
      <c r="AQ20" s="81"/>
      <c r="AR20" s="81"/>
      <c r="AS20" s="81"/>
      <c r="AT20" s="81"/>
      <c r="AU20" s="81"/>
      <c r="AV20" s="81"/>
      <c r="AW20" s="76">
        <v>7</v>
      </c>
      <c r="AX20" s="76">
        <v>18</v>
      </c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P20" s="208"/>
      <c r="BQ20" s="69"/>
      <c r="BR20" s="70"/>
      <c r="BS20" s="70"/>
      <c r="BT20" s="70"/>
    </row>
    <row r="21" spans="1:72" ht="21.95" customHeight="1" thickBot="1" x14ac:dyDescent="0.3">
      <c r="D21" s="342" t="e">
        <f>HLOOKUP($B$4,TourDeJeu,29,FALSE)</f>
        <v>#N/A</v>
      </c>
      <c r="E21" s="343"/>
      <c r="F21" s="343"/>
      <c r="G21" s="343"/>
      <c r="H21" s="343"/>
      <c r="I21" s="343"/>
      <c r="J21" s="343"/>
      <c r="K21" s="344"/>
      <c r="L21" s="320"/>
      <c r="M21" s="285"/>
      <c r="N21" s="294"/>
      <c r="O21" s="295"/>
      <c r="P21" s="295"/>
      <c r="R21" s="205"/>
      <c r="S21" s="205"/>
      <c r="AK21" s="338"/>
      <c r="AL21" s="89" t="s">
        <v>784</v>
      </c>
      <c r="AM21" s="90" t="s">
        <v>784</v>
      </c>
      <c r="AN21" s="90" t="s">
        <v>784</v>
      </c>
      <c r="AO21" s="91" t="s">
        <v>784</v>
      </c>
      <c r="AP21" s="81"/>
      <c r="AQ21" s="81"/>
      <c r="AR21" s="81"/>
      <c r="AS21" s="81"/>
      <c r="AT21" s="81"/>
      <c r="AU21" s="81"/>
      <c r="AV21" s="81"/>
      <c r="AX21" s="76">
        <v>19</v>
      </c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P21" s="208"/>
      <c r="BQ21" s="69"/>
      <c r="BR21" s="70"/>
      <c r="BS21" s="70"/>
      <c r="BT21" s="70"/>
    </row>
    <row r="22" spans="1:72" ht="21.95" customHeight="1" x14ac:dyDescent="0.25">
      <c r="D22" s="312" t="s">
        <v>795</v>
      </c>
      <c r="E22" s="312" t="s">
        <v>11</v>
      </c>
      <c r="F22" s="75" t="s">
        <v>38</v>
      </c>
      <c r="G22" s="312" t="s">
        <v>44</v>
      </c>
      <c r="H22" s="312" t="s">
        <v>45</v>
      </c>
      <c r="I22" s="206" t="s">
        <v>46</v>
      </c>
      <c r="J22" s="312"/>
      <c r="K22" s="312" t="s">
        <v>47</v>
      </c>
      <c r="L22" s="312"/>
      <c r="M22" s="293"/>
      <c r="N22" s="76"/>
      <c r="O22" s="94"/>
      <c r="P22" s="94"/>
      <c r="Q22" s="205" t="s">
        <v>790</v>
      </c>
      <c r="U22" s="295">
        <f>COUNTIF(Tour1,W22)</f>
        <v>0</v>
      </c>
      <c r="V22" s="295">
        <f>AC22</f>
        <v>0</v>
      </c>
      <c r="W22" s="295">
        <f>Tirage!C9</f>
        <v>0</v>
      </c>
      <c r="X22" s="295">
        <f>(IF($U22=1,VLOOKUP($W22,Tour1,4,FALSE),0))</f>
        <v>0</v>
      </c>
      <c r="Y22" s="295">
        <f>(IF($U22=1,VLOOKUP($W22,Tour1,5,FALSE),0))</f>
        <v>0</v>
      </c>
      <c r="Z22" s="295">
        <f>(IF($U22=1,VLOOKUP($W22,Tour1,6,FALSE),0))</f>
        <v>0</v>
      </c>
      <c r="AA22" s="295">
        <f>(IF($U22=1,VLOOKUP($W22,Tour1,7,FALSE),0))</f>
        <v>0</v>
      </c>
      <c r="AB22" s="295">
        <f>(IF($U22=1,VLOOKUP($W22,Tour1,8,FALSE),0))</f>
        <v>0</v>
      </c>
      <c r="AC22" s="295">
        <f>(IF($U22=1,VLOOKUP($W22,Tour1,9,FALSE),0))</f>
        <v>0</v>
      </c>
      <c r="AK22" s="81" t="s">
        <v>61</v>
      </c>
      <c r="AL22" s="78" t="s">
        <v>784</v>
      </c>
      <c r="AM22" s="79" t="s">
        <v>784</v>
      </c>
      <c r="AN22" s="79" t="s">
        <v>784</v>
      </c>
      <c r="AO22" s="80" t="s">
        <v>784</v>
      </c>
      <c r="AP22" s="81"/>
      <c r="AQ22" s="81"/>
      <c r="AR22" s="81"/>
      <c r="AS22" s="81"/>
      <c r="AT22" s="81"/>
      <c r="AU22" s="81"/>
      <c r="AV22" s="81"/>
      <c r="AX22" s="76">
        <v>20</v>
      </c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P22" s="208"/>
      <c r="BQ22" s="69"/>
      <c r="BR22" s="70"/>
      <c r="BS22" s="70"/>
      <c r="BT22" s="70"/>
    </row>
    <row r="23" spans="1:72" ht="21.95" customHeight="1" x14ac:dyDescent="0.25">
      <c r="B23" s="315" t="e">
        <f>HLOOKUP($B$4,Scenario1,15,FALSE)</f>
        <v>#N/A</v>
      </c>
      <c r="C23" s="321" t="e">
        <f>VLOOKUP($B23,joueurs,3,FALSE)</f>
        <v>#N/A</v>
      </c>
      <c r="D23" s="71" t="e">
        <f>VLOOKUP($B23,joueurs,2,FALSE)</f>
        <v>#N/A</v>
      </c>
      <c r="E23" s="335" t="e">
        <f>HLOOKUP($B$4,TourDeJeu,37,FALSE)</f>
        <v>#N/A</v>
      </c>
      <c r="F23" s="288"/>
      <c r="G23" s="289"/>
      <c r="H23" s="289"/>
      <c r="I23" s="290" t="str">
        <f>IF(G23="","",F23/G23)</f>
        <v/>
      </c>
      <c r="J23" s="291" t="str">
        <f>IF(K23&gt;=1,I23,0)</f>
        <v/>
      </c>
      <c r="K23" s="292" t="str">
        <f>IF(ISBLANK(F23),"",IF(F23&gt;F24,2,IF(F23=F24,1,0)))</f>
        <v/>
      </c>
      <c r="L23" s="302"/>
      <c r="M23" s="294" t="e">
        <f>IF(B23="_"," ",IF(OR(AND(K23=1,B23&gt;B24),(K23=2),(L23&gt;L24)),"V","P"))</f>
        <v>#N/A</v>
      </c>
      <c r="N23" s="294"/>
      <c r="O23" s="295"/>
      <c r="P23" s="295"/>
      <c r="Q23" s="205" t="s">
        <v>791</v>
      </c>
      <c r="U23" s="295">
        <f>COUNTIF(Tour2,W23)</f>
        <v>0</v>
      </c>
      <c r="V23" s="295">
        <f t="shared" ref="V23:V24" si="4">AC23</f>
        <v>0</v>
      </c>
      <c r="W23" s="295">
        <f>W22</f>
        <v>0</v>
      </c>
      <c r="X23" s="295">
        <f>(IF($U23=1,VLOOKUP($W23,Tour2,4,FALSE),0))</f>
        <v>0</v>
      </c>
      <c r="Y23" s="295">
        <f>(IF($U23=1,VLOOKUP($W23,Tour2,5,FALSE),0))</f>
        <v>0</v>
      </c>
      <c r="Z23" s="295">
        <f>(IF($U23=1,VLOOKUP($W23,Tour2,6,FALSE),0))</f>
        <v>0</v>
      </c>
      <c r="AA23" s="295"/>
      <c r="AB23" s="295">
        <f>(IF($U23=1,VLOOKUP($W23,Tour2,8,FALSE),0))</f>
        <v>0</v>
      </c>
      <c r="AC23" s="295">
        <f>(IF($U23=1,VLOOKUP($W23,Tour2,9,FALSE),0))</f>
        <v>0</v>
      </c>
      <c r="AK23" s="81"/>
      <c r="AL23" s="82" t="s">
        <v>784</v>
      </c>
      <c r="AM23" s="83" t="s">
        <v>784</v>
      </c>
      <c r="AN23" s="83" t="s">
        <v>784</v>
      </c>
      <c r="AO23" s="84" t="s">
        <v>784</v>
      </c>
      <c r="AP23" s="81"/>
      <c r="AQ23" s="81"/>
      <c r="AR23" s="81"/>
      <c r="AS23" s="81"/>
      <c r="AT23" s="81"/>
      <c r="AU23" s="81"/>
      <c r="AV23" s="81"/>
      <c r="AX23" s="76">
        <v>21</v>
      </c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P23" s="208"/>
    </row>
    <row r="24" spans="1:72" ht="21.95" customHeight="1" x14ac:dyDescent="0.25">
      <c r="B24" s="315" t="e">
        <f>HLOOKUP($B$4,Scenario1,16,FALSE)</f>
        <v>#N/A</v>
      </c>
      <c r="C24" s="321" t="e">
        <f>VLOOKUP($B24,joueurs,3,FALSE)</f>
        <v>#N/A</v>
      </c>
      <c r="D24" s="71" t="e">
        <f>VLOOKUP($B24,joueurs,2,FALSE)</f>
        <v>#N/A</v>
      </c>
      <c r="E24" s="336"/>
      <c r="F24" s="288"/>
      <c r="G24" s="296" t="str">
        <f>IF(G23="","",G23)</f>
        <v/>
      </c>
      <c r="H24" s="289"/>
      <c r="I24" s="290" t="str">
        <f>IF(G24="","",F24/G24)</f>
        <v/>
      </c>
      <c r="J24" s="291" t="str">
        <f>IF(K24&gt;=1,I24,0)</f>
        <v/>
      </c>
      <c r="K24" s="292" t="str">
        <f>IF(ISBLANK(F24),"",IF(F24&gt;F23,2,IF(F24=F23,1,0)))</f>
        <v/>
      </c>
      <c r="L24" s="302"/>
      <c r="M24" s="294" t="e">
        <f>IF(B24="_"," ",IF(M23="P","V","P"))</f>
        <v>#N/A</v>
      </c>
      <c r="N24" s="294"/>
      <c r="O24" s="295"/>
      <c r="P24" s="295"/>
      <c r="Q24" s="205" t="s">
        <v>792</v>
      </c>
      <c r="R24" s="294"/>
      <c r="S24" s="294"/>
      <c r="T24" s="295"/>
      <c r="U24" s="295">
        <f>COUNTIF(Tour3,W24)</f>
        <v>0</v>
      </c>
      <c r="V24" s="295">
        <f t="shared" si="4"/>
        <v>0</v>
      </c>
      <c r="W24" s="295">
        <f>W23</f>
        <v>0</v>
      </c>
      <c r="X24" s="295">
        <f>(IF($U24=1,VLOOKUP($W24,Tour3,4,FALSE),0))</f>
        <v>0</v>
      </c>
      <c r="Y24" s="295">
        <f>(IF($U24=1,VLOOKUP($W24,Tour3,5,FALSE),0))</f>
        <v>0</v>
      </c>
      <c r="Z24" s="295">
        <f>(IF($U24=1,VLOOKUP($W24,Tour3,6,FALSE),0))</f>
        <v>0</v>
      </c>
      <c r="AA24" s="295"/>
      <c r="AB24" s="295">
        <f>(IF($U24=1,VLOOKUP($W24,Tour3,8,FALSE),0))</f>
        <v>0</v>
      </c>
      <c r="AC24" s="295">
        <f>(IF($U24=1,VLOOKUP($W24,Tour3,9,FALSE),0))</f>
        <v>0</v>
      </c>
      <c r="AL24" s="85"/>
      <c r="AM24" s="86"/>
      <c r="AN24" s="86"/>
      <c r="AO24" s="87"/>
      <c r="AP24" s="88"/>
      <c r="AQ24" s="88"/>
      <c r="AR24" s="88"/>
      <c r="AS24" s="88"/>
      <c r="AT24" s="88"/>
      <c r="AU24" s="88"/>
      <c r="AV24" s="88"/>
      <c r="AX24" s="76">
        <v>22</v>
      </c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Q24" s="75"/>
    </row>
    <row r="25" spans="1:72" ht="21.95" customHeight="1" x14ac:dyDescent="0.25">
      <c r="D25" s="312" t="s">
        <v>43</v>
      </c>
      <c r="E25" s="312" t="s">
        <v>11</v>
      </c>
      <c r="F25" s="75" t="s">
        <v>38</v>
      </c>
      <c r="G25" s="312" t="s">
        <v>44</v>
      </c>
      <c r="H25" s="312" t="s">
        <v>45</v>
      </c>
      <c r="I25" s="206" t="s">
        <v>46</v>
      </c>
      <c r="J25" s="312"/>
      <c r="K25" s="312" t="s">
        <v>47</v>
      </c>
      <c r="L25" s="312"/>
      <c r="M25" s="293"/>
      <c r="N25" s="294"/>
      <c r="O25" s="295"/>
      <c r="P25" s="295"/>
      <c r="R25" s="294"/>
      <c r="S25" s="294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L25" s="82" t="s">
        <v>784</v>
      </c>
      <c r="AM25" s="83" t="s">
        <v>784</v>
      </c>
      <c r="AN25" s="83" t="s">
        <v>784</v>
      </c>
      <c r="AO25" s="84" t="s">
        <v>784</v>
      </c>
      <c r="AP25" s="81"/>
      <c r="AQ25" s="81"/>
      <c r="AR25" s="81"/>
      <c r="AS25" s="81"/>
      <c r="AT25" s="81"/>
      <c r="AU25" s="81"/>
      <c r="AV25" s="81"/>
      <c r="AX25" s="76">
        <v>23</v>
      </c>
      <c r="BK25" s="76"/>
      <c r="BL25" s="76"/>
      <c r="BM25" s="76"/>
      <c r="BN25" s="76"/>
      <c r="BQ25" s="75"/>
    </row>
    <row r="26" spans="1:72" ht="21.95" customHeight="1" thickBot="1" x14ac:dyDescent="0.3">
      <c r="B26" s="315" t="e">
        <f>HLOOKUP($B$4,Scenario1,18,FALSE)</f>
        <v>#N/A</v>
      </c>
      <c r="C26" s="321" t="e">
        <f>VLOOKUP($B26,joueurs,3,FALSE)</f>
        <v>#N/A</v>
      </c>
      <c r="D26" s="71" t="e">
        <f>VLOOKUP($B26,joueurs,2,FALSE)</f>
        <v>#N/A</v>
      </c>
      <c r="E26" s="335" t="e">
        <f>HLOOKUP($B$4,TourDeJeu,38,FALSE)</f>
        <v>#N/A</v>
      </c>
      <c r="F26" s="288"/>
      <c r="G26" s="289"/>
      <c r="H26" s="289"/>
      <c r="I26" s="290" t="str">
        <f>IF(G26="","",F26/G26)</f>
        <v/>
      </c>
      <c r="J26" s="291" t="str">
        <f>IF(K26&gt;=1,I26,0)</f>
        <v/>
      </c>
      <c r="K26" s="292" t="str">
        <f>IF(ISBLANK(F26),"",IF(F26&gt;F27,2,IF(F26=F27,1,0)))</f>
        <v/>
      </c>
      <c r="L26" s="302"/>
      <c r="M26" s="294" t="e">
        <f>IF(B26="_"," ",IF(OR(AND(K26=1,B26&gt;B27),(K26=2),(L26&gt;L27)),"V","P"))</f>
        <v>#N/A</v>
      </c>
      <c r="N26" s="294"/>
      <c r="O26" s="295"/>
      <c r="P26" s="295"/>
      <c r="AK26" s="81"/>
      <c r="AL26" s="89" t="s">
        <v>784</v>
      </c>
      <c r="AM26" s="90" t="s">
        <v>784</v>
      </c>
      <c r="AN26" s="90" t="s">
        <v>784</v>
      </c>
      <c r="AO26" s="91" t="s">
        <v>784</v>
      </c>
      <c r="AP26" s="81"/>
      <c r="AQ26" s="81"/>
      <c r="AR26" s="81"/>
      <c r="AS26" s="81"/>
      <c r="AT26" s="81"/>
      <c r="AU26" s="81"/>
      <c r="AV26" s="81"/>
      <c r="AX26" s="76">
        <v>24</v>
      </c>
      <c r="AZ26" s="205" t="s">
        <v>62</v>
      </c>
      <c r="BP26" s="75"/>
    </row>
    <row r="27" spans="1:72" ht="21.95" customHeight="1" x14ac:dyDescent="0.25">
      <c r="B27" s="315" t="e">
        <f>HLOOKUP($B$4,Scenario1,19,FALSE)</f>
        <v>#N/A</v>
      </c>
      <c r="C27" s="321" t="e">
        <f>VLOOKUP($B27,joueurs,3,FALSE)</f>
        <v>#N/A</v>
      </c>
      <c r="D27" s="71" t="e">
        <f>VLOOKUP($B27,joueurs,2,FALSE)</f>
        <v>#N/A</v>
      </c>
      <c r="E27" s="336"/>
      <c r="F27" s="288"/>
      <c r="G27" s="296" t="str">
        <f>IF(G26="","",G26)</f>
        <v/>
      </c>
      <c r="H27" s="289"/>
      <c r="I27" s="290" t="str">
        <f>IF(G27="","",F27/G27)</f>
        <v/>
      </c>
      <c r="J27" s="291" t="str">
        <f>IF(K27&gt;=1,I27,0)</f>
        <v/>
      </c>
      <c r="K27" s="292" t="str">
        <f>IF(ISBLANK(F27),"",IF(F27&gt;F26,2,IF(F27=F26,1,0)))</f>
        <v/>
      </c>
      <c r="L27" s="302"/>
      <c r="M27" s="294" t="e">
        <f>IF(B26="_"," ",IF(M26="P","V","P"))</f>
        <v>#N/A</v>
      </c>
      <c r="N27" s="294"/>
      <c r="O27" s="295"/>
      <c r="P27" s="295"/>
      <c r="Q27" s="205" t="s">
        <v>790</v>
      </c>
      <c r="U27" s="295">
        <f>COUNTIF(Tour1,W27)</f>
        <v>0</v>
      </c>
      <c r="V27" s="295">
        <f>AC27</f>
        <v>0</v>
      </c>
      <c r="W27" s="295">
        <f>Tirage!C10</f>
        <v>0</v>
      </c>
      <c r="X27" s="295">
        <f>(IF($U27=1,VLOOKUP($W27,Tour1,4,FALSE),0))</f>
        <v>0</v>
      </c>
      <c r="Y27" s="295">
        <f>(IF($U27=1,VLOOKUP($W27,Tour1,5,FALSE),0))</f>
        <v>0</v>
      </c>
      <c r="Z27" s="295">
        <f>(IF($U27=1,VLOOKUP($W27,Tour1,6,FALSE),0))</f>
        <v>0</v>
      </c>
      <c r="AA27" s="295">
        <f>(IF($U27=1,VLOOKUP($W27,Tour1,7,FALSE),0))</f>
        <v>0</v>
      </c>
      <c r="AB27" s="295">
        <f>(IF($U27=1,VLOOKUP($W27,Tour1,8,FALSE),0))</f>
        <v>0</v>
      </c>
      <c r="AC27" s="295">
        <f>(IF($U27=1,VLOOKUP($W27,Tour1,9,FALSE),0))</f>
        <v>0</v>
      </c>
      <c r="AX27" s="76">
        <v>25</v>
      </c>
      <c r="BP27" s="75"/>
    </row>
    <row r="28" spans="1:72" ht="21.95" customHeight="1" x14ac:dyDescent="0.25">
      <c r="A28" s="94"/>
      <c r="B28" s="318"/>
      <c r="C28" s="313"/>
      <c r="D28" s="72"/>
      <c r="E28" s="72"/>
      <c r="F28" s="297"/>
      <c r="G28" s="298"/>
      <c r="H28" s="299"/>
      <c r="I28" s="300"/>
      <c r="J28" s="301"/>
      <c r="K28" s="302"/>
      <c r="L28" s="302"/>
      <c r="M28" s="285"/>
      <c r="N28" s="294"/>
      <c r="O28" s="295"/>
      <c r="P28" s="295"/>
      <c r="Q28" s="205" t="s">
        <v>791</v>
      </c>
      <c r="R28" s="294"/>
      <c r="S28" s="294"/>
      <c r="T28" s="295"/>
      <c r="U28" s="295">
        <f>COUNTIF(Tour2,W28)</f>
        <v>0</v>
      </c>
      <c r="V28" s="295">
        <f t="shared" ref="V28:V29" si="5">AC28</f>
        <v>0</v>
      </c>
      <c r="W28" s="295">
        <f>W27</f>
        <v>0</v>
      </c>
      <c r="X28" s="295">
        <f>(IF($U28=1,VLOOKUP($W28,Tour2,4,FALSE),0))</f>
        <v>0</v>
      </c>
      <c r="Y28" s="295">
        <f>(IF($U28=1,VLOOKUP($W28,Tour2,5,FALSE),0))</f>
        <v>0</v>
      </c>
      <c r="Z28" s="295">
        <f>(IF($U28=1,VLOOKUP($W28,Tour2,6,FALSE),0))</f>
        <v>0</v>
      </c>
      <c r="AA28" s="295"/>
      <c r="AB28" s="295">
        <f>(IF($U28=1,VLOOKUP($W28,Tour2,8,FALSE),0))</f>
        <v>0</v>
      </c>
      <c r="AC28" s="295">
        <f>(IF($U28=1,VLOOKUP($W28,Tour2,9,FALSE),0))</f>
        <v>0</v>
      </c>
      <c r="AX28" s="76">
        <v>26</v>
      </c>
      <c r="BC28" s="92"/>
      <c r="BD28" s="70"/>
      <c r="BE28" s="69"/>
      <c r="BF28" s="69"/>
      <c r="BG28" s="93"/>
      <c r="BH28" s="93"/>
      <c r="BI28" s="93"/>
      <c r="BJ28" s="206"/>
      <c r="BK28" s="207"/>
      <c r="BL28" s="204"/>
      <c r="BP28" s="75"/>
    </row>
    <row r="29" spans="1:72" s="94" customFormat="1" ht="21.95" customHeight="1" x14ac:dyDescent="0.25">
      <c r="B29" s="318"/>
      <c r="C29" s="313"/>
      <c r="D29" s="334"/>
      <c r="E29" s="334"/>
      <c r="F29" s="334"/>
      <c r="G29" s="334"/>
      <c r="H29" s="334"/>
      <c r="I29" s="334"/>
      <c r="J29" s="334"/>
      <c r="K29" s="334"/>
      <c r="L29" s="313"/>
      <c r="M29" s="285"/>
      <c r="N29" s="76"/>
      <c r="Q29" s="205" t="s">
        <v>792</v>
      </c>
      <c r="R29" s="294"/>
      <c r="S29" s="294"/>
      <c r="T29" s="295"/>
      <c r="U29" s="295">
        <f>COUNTIF(Tour3,W29)</f>
        <v>0</v>
      </c>
      <c r="V29" s="295">
        <f t="shared" si="5"/>
        <v>0</v>
      </c>
      <c r="W29" s="295">
        <f>W28</f>
        <v>0</v>
      </c>
      <c r="X29" s="295">
        <f>(IF($U29=1,VLOOKUP($W29,Tour3,4,FALSE),0))</f>
        <v>0</v>
      </c>
      <c r="Y29" s="295">
        <f>(IF($U29=1,VLOOKUP($W29,Tour3,5,FALSE),0))</f>
        <v>0</v>
      </c>
      <c r="Z29" s="295">
        <f>(IF($U29=1,VLOOKUP($W29,Tour3,6,FALSE),0))</f>
        <v>0</v>
      </c>
      <c r="AA29" s="295"/>
      <c r="AB29" s="295">
        <f>(IF($U29=1,VLOOKUP($W29,Tour3,8,FALSE),0))</f>
        <v>0</v>
      </c>
      <c r="AC29" s="295">
        <f>(IF($U29=1,VLOOKUP($W29,Tour3,9,FALSE),0))</f>
        <v>0</v>
      </c>
      <c r="AK29" s="205"/>
      <c r="AL29" s="205" t="s">
        <v>63</v>
      </c>
      <c r="AM29" s="205" t="s">
        <v>63</v>
      </c>
      <c r="AN29" s="205" t="s">
        <v>63</v>
      </c>
      <c r="AO29" s="205" t="s">
        <v>63</v>
      </c>
      <c r="AP29" s="205"/>
      <c r="AQ29" s="205"/>
      <c r="AR29" s="205"/>
      <c r="AS29" s="205"/>
      <c r="AT29" s="205"/>
      <c r="AX29" s="76">
        <v>27</v>
      </c>
      <c r="AY29" s="205"/>
      <c r="AZ29" s="205"/>
      <c r="BA29" s="205"/>
      <c r="BB29" s="205"/>
      <c r="BC29" s="92"/>
      <c r="BD29" s="92"/>
      <c r="BE29" s="70"/>
      <c r="BF29" s="69"/>
      <c r="BG29" s="73"/>
      <c r="BH29" s="69"/>
      <c r="BI29" s="73"/>
      <c r="BJ29" s="206"/>
      <c r="BK29" s="207"/>
      <c r="BL29" s="204"/>
      <c r="BM29" s="205"/>
      <c r="BN29" s="76"/>
      <c r="BQ29" s="95"/>
    </row>
    <row r="30" spans="1:72" ht="21.95" customHeight="1" x14ac:dyDescent="0.25">
      <c r="A30" s="94"/>
      <c r="B30" s="318"/>
      <c r="C30" s="313"/>
      <c r="D30" s="76"/>
      <c r="E30" s="76"/>
      <c r="F30" s="95"/>
      <c r="G30" s="76"/>
      <c r="H30" s="76"/>
      <c r="I30" s="306"/>
      <c r="J30" s="76"/>
      <c r="K30" s="76"/>
      <c r="L30" s="313"/>
      <c r="M30" s="285"/>
      <c r="N30" s="76"/>
      <c r="O30" s="94"/>
      <c r="P30" s="94"/>
      <c r="R30" s="294"/>
      <c r="S30" s="294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L30" s="205" t="s">
        <v>64</v>
      </c>
      <c r="AM30" s="205" t="s">
        <v>64</v>
      </c>
      <c r="AN30" s="205" t="s">
        <v>64</v>
      </c>
      <c r="AO30" s="205" t="s">
        <v>64</v>
      </c>
      <c r="AX30" s="76">
        <v>28</v>
      </c>
      <c r="BC30" s="75"/>
      <c r="BD30" s="75"/>
      <c r="BE30" s="75"/>
      <c r="BF30" s="75"/>
      <c r="BG30" s="96"/>
      <c r="BH30" s="96"/>
      <c r="BI30" s="96"/>
      <c r="BJ30" s="206"/>
      <c r="BK30" s="207"/>
      <c r="BL30" s="204"/>
      <c r="BN30" s="76"/>
      <c r="BQ30" s="75"/>
    </row>
    <row r="31" spans="1:72" ht="21.95" customHeight="1" x14ac:dyDescent="0.25">
      <c r="A31" s="94"/>
      <c r="B31" s="318"/>
      <c r="C31" s="313"/>
      <c r="D31" s="72"/>
      <c r="E31" s="333"/>
      <c r="G31" s="297"/>
      <c r="H31" s="299"/>
      <c r="I31" s="300"/>
      <c r="J31" s="307"/>
      <c r="K31" s="302"/>
      <c r="L31" s="302"/>
      <c r="M31" s="285"/>
      <c r="N31" s="294"/>
      <c r="O31" s="295"/>
      <c r="P31" s="295"/>
      <c r="AL31" s="205" t="s">
        <v>366</v>
      </c>
      <c r="AM31" s="205" t="s">
        <v>65</v>
      </c>
      <c r="AN31" s="205" t="s">
        <v>65</v>
      </c>
      <c r="AO31" s="205" t="s">
        <v>65</v>
      </c>
      <c r="AX31" s="76">
        <v>29</v>
      </c>
      <c r="BC31" s="75"/>
      <c r="BD31" s="75"/>
      <c r="BE31" s="75"/>
      <c r="BF31" s="75"/>
      <c r="BG31" s="96"/>
      <c r="BJ31" s="206"/>
      <c r="BK31" s="207"/>
      <c r="BL31" s="204"/>
      <c r="BP31" s="75"/>
    </row>
    <row r="32" spans="1:72" ht="21.95" customHeight="1" x14ac:dyDescent="0.25">
      <c r="A32" s="94"/>
      <c r="B32" s="318"/>
      <c r="C32" s="313"/>
      <c r="D32" s="72"/>
      <c r="E32" s="333"/>
      <c r="F32" s="297"/>
      <c r="G32" s="298"/>
      <c r="H32" s="299"/>
      <c r="I32" s="300"/>
      <c r="J32" s="307"/>
      <c r="K32" s="302"/>
      <c r="L32" s="302"/>
      <c r="M32" s="285"/>
      <c r="N32" s="294"/>
      <c r="O32" s="295"/>
      <c r="P32" s="295"/>
      <c r="AL32" s="205" t="s">
        <v>366</v>
      </c>
      <c r="AM32" s="205" t="s">
        <v>366</v>
      </c>
      <c r="AN32" s="205" t="s">
        <v>366</v>
      </c>
      <c r="AO32" s="205" t="s">
        <v>366</v>
      </c>
      <c r="AP32" s="205" t="s">
        <v>366</v>
      </c>
      <c r="AX32" s="76">
        <v>30</v>
      </c>
      <c r="BC32" s="75"/>
      <c r="BD32" s="75"/>
      <c r="BE32" s="75"/>
      <c r="BF32" s="75"/>
      <c r="BG32" s="96"/>
      <c r="BI32" s="96"/>
      <c r="BJ32" s="206"/>
      <c r="BK32" s="207"/>
      <c r="BL32" s="204"/>
      <c r="BP32" s="75"/>
    </row>
    <row r="33" spans="1:73" ht="21.95" customHeight="1" x14ac:dyDescent="0.25">
      <c r="A33" s="94"/>
      <c r="B33" s="318"/>
      <c r="C33" s="313"/>
      <c r="D33" s="76"/>
      <c r="E33" s="76"/>
      <c r="F33" s="95"/>
      <c r="G33" s="76"/>
      <c r="H33" s="76"/>
      <c r="I33" s="306"/>
      <c r="J33" s="76"/>
      <c r="K33" s="76"/>
      <c r="L33" s="313"/>
      <c r="M33" s="285"/>
      <c r="N33" s="294"/>
      <c r="O33" s="295"/>
      <c r="P33" s="295"/>
      <c r="R33" s="294">
        <f>IF(U7=2,0,RANK(T33,Rangfinal))</f>
        <v>1</v>
      </c>
      <c r="S33" s="294" t="e">
        <f>HLOOKUP($B$4,ScenarioTableau,7,FALSE)</f>
        <v>#N/A</v>
      </c>
      <c r="T33" s="295">
        <f>AC33+(AA33/1000)+(Z33/10000000000)</f>
        <v>0</v>
      </c>
      <c r="W33" s="205">
        <f>W7</f>
        <v>0</v>
      </c>
      <c r="X33" s="205">
        <f>SUM(X7:X10)</f>
        <v>0</v>
      </c>
      <c r="Y33" s="205">
        <f>SUM(Y7:Y10)</f>
        <v>0</v>
      </c>
      <c r="Z33" s="205">
        <f>MAX(Z7:Z10)</f>
        <v>0</v>
      </c>
      <c r="AA33" s="205" t="str">
        <f>IF(X33=0,"0",X33/Y33)</f>
        <v>0</v>
      </c>
      <c r="AB33" s="205">
        <f>MAX(AB7:AB10)</f>
        <v>0</v>
      </c>
      <c r="AC33" s="205">
        <f>SUM(AC7:AC10)</f>
        <v>0</v>
      </c>
      <c r="AX33" s="76">
        <v>31</v>
      </c>
      <c r="BC33" s="75"/>
      <c r="BD33" s="75"/>
      <c r="BE33" s="75"/>
      <c r="BF33" s="75"/>
      <c r="BG33" s="96"/>
      <c r="BH33" s="96"/>
      <c r="BI33" s="96"/>
      <c r="BJ33" s="206"/>
      <c r="BK33" s="207"/>
      <c r="BL33" s="204"/>
      <c r="BP33" s="75"/>
    </row>
    <row r="34" spans="1:73" ht="21.95" customHeight="1" x14ac:dyDescent="0.25">
      <c r="A34" s="94"/>
      <c r="B34" s="318"/>
      <c r="C34" s="313"/>
      <c r="D34" s="72"/>
      <c r="E34" s="333"/>
      <c r="F34" s="297"/>
      <c r="G34" s="299"/>
      <c r="H34" s="299"/>
      <c r="I34" s="300"/>
      <c r="J34" s="307"/>
      <c r="K34" s="302"/>
      <c r="L34" s="302"/>
      <c r="M34" s="285"/>
      <c r="N34" s="294"/>
      <c r="O34" s="295"/>
      <c r="P34" s="295"/>
      <c r="R34" s="294">
        <f>IF(U12=2,0,RANK(T34,Rangfinal))</f>
        <v>1</v>
      </c>
      <c r="S34" s="294" t="e">
        <f>HLOOKUP($B$4,ScenarioTableau,8,FALSE)</f>
        <v>#N/A</v>
      </c>
      <c r="T34" s="295">
        <f t="shared" ref="T34" si="6">AC34+(AA34/1000)+(Z34/10000000000)</f>
        <v>0</v>
      </c>
      <c r="W34" s="205">
        <f>W12</f>
        <v>0</v>
      </c>
      <c r="X34" s="205">
        <f>SUM(X12:X15)</f>
        <v>0</v>
      </c>
      <c r="Y34" s="205">
        <f>SUM(Y12:Y15)</f>
        <v>0</v>
      </c>
      <c r="Z34" s="205">
        <f>MAX(Z12:Z15)</f>
        <v>0</v>
      </c>
      <c r="AA34" s="205" t="str">
        <f t="shared" ref="AA34:AA37" si="7">IF(X34=0,"0",X34/Y34)</f>
        <v>0</v>
      </c>
      <c r="AB34" s="205">
        <f>MAX(AB12:AB15)</f>
        <v>0</v>
      </c>
      <c r="AC34" s="205">
        <f>SUM(AC12:AC15)</f>
        <v>0</v>
      </c>
      <c r="AX34" s="76">
        <v>32</v>
      </c>
      <c r="BC34" s="75"/>
      <c r="BD34" s="75"/>
      <c r="BE34" s="75"/>
      <c r="BF34" s="75"/>
      <c r="BG34" s="96"/>
      <c r="BH34" s="96"/>
      <c r="BI34" s="96"/>
      <c r="BJ34" s="206"/>
      <c r="BK34" s="207"/>
      <c r="BL34" s="204"/>
      <c r="BP34" s="75"/>
    </row>
    <row r="35" spans="1:73" ht="21.95" customHeight="1" x14ac:dyDescent="0.25">
      <c r="A35" s="94"/>
      <c r="B35" s="318"/>
      <c r="C35" s="313"/>
      <c r="D35" s="72"/>
      <c r="E35" s="333"/>
      <c r="F35" s="297"/>
      <c r="G35" s="298"/>
      <c r="H35" s="299"/>
      <c r="I35" s="300"/>
      <c r="J35" s="307"/>
      <c r="K35" s="302"/>
      <c r="L35" s="302"/>
      <c r="M35" s="285"/>
      <c r="N35" s="294"/>
      <c r="O35" s="295"/>
      <c r="P35" s="295"/>
      <c r="R35" s="294">
        <f>IF(U17=2,0,RANK(T35,Rangfinal))</f>
        <v>1</v>
      </c>
      <c r="S35" s="294" t="e">
        <f>HLOOKUP($B$4,ScenarioTableau,9,FALSE)</f>
        <v>#N/A</v>
      </c>
      <c r="T35" s="295">
        <f>IF(W35=0,0,AC35+(AA35/1000)+(Z35/10000000000))</f>
        <v>0</v>
      </c>
      <c r="W35" s="205">
        <f>W17</f>
        <v>0</v>
      </c>
      <c r="X35" s="205">
        <f>SUM(X17:X20)</f>
        <v>0</v>
      </c>
      <c r="Y35" s="205">
        <f>SUM(Y17:Y20)</f>
        <v>0</v>
      </c>
      <c r="Z35" s="205">
        <f>MAX(Z17:Z20)</f>
        <v>0</v>
      </c>
      <c r="AA35" s="205" t="str">
        <f t="shared" si="7"/>
        <v>0</v>
      </c>
      <c r="AB35" s="205">
        <f>MAX(AB17:AB20)</f>
        <v>0</v>
      </c>
      <c r="AC35" s="205">
        <f>SUM(AC17:AC20)</f>
        <v>0</v>
      </c>
      <c r="AL35" s="205" t="str">
        <f>Quota</f>
        <v/>
      </c>
      <c r="AM35" s="205" t="str">
        <f>Quota</f>
        <v/>
      </c>
      <c r="AN35" s="205" t="str">
        <f>Quota</f>
        <v/>
      </c>
      <c r="AO35" s="205" t="str">
        <f t="shared" ref="AO35:AO39" si="8">Quota</f>
        <v/>
      </c>
      <c r="AX35" s="76">
        <v>33</v>
      </c>
      <c r="BC35" s="75"/>
      <c r="BD35" s="75"/>
      <c r="BE35" s="75"/>
      <c r="BF35" s="75"/>
      <c r="BG35" s="96"/>
      <c r="BH35" s="96"/>
      <c r="BI35" s="96"/>
      <c r="BJ35" s="206"/>
      <c r="BK35" s="207"/>
      <c r="BL35" s="204"/>
      <c r="BP35" s="75"/>
    </row>
    <row r="36" spans="1:73" ht="21.95" customHeight="1" x14ac:dyDescent="0.25">
      <c r="A36" s="94"/>
      <c r="B36" s="318"/>
      <c r="C36" s="313"/>
      <c r="D36" s="94"/>
      <c r="E36" s="94"/>
      <c r="F36" s="308"/>
      <c r="G36" s="94"/>
      <c r="H36" s="94"/>
      <c r="I36" s="309"/>
      <c r="J36" s="94"/>
      <c r="K36" s="94"/>
      <c r="L36" s="94"/>
      <c r="M36" s="285"/>
      <c r="N36" s="294"/>
      <c r="O36" s="295"/>
      <c r="P36" s="295"/>
      <c r="R36" s="294">
        <f>IF(U22=2,0,RANK(T36,Rangfinal))</f>
        <v>1</v>
      </c>
      <c r="S36" s="294" t="e">
        <f>HLOOKUP($B$4,ScenarioTableau,10,FALSE)</f>
        <v>#N/A</v>
      </c>
      <c r="T36" s="295">
        <f>IF(W36=0,0,AC36+(AA36/1000)+(Z36/10000000000))</f>
        <v>0</v>
      </c>
      <c r="W36" s="205">
        <f>W22</f>
        <v>0</v>
      </c>
      <c r="X36" s="205">
        <f>SUM(X22:X25)</f>
        <v>0</v>
      </c>
      <c r="Y36" s="205">
        <f>SUM(Y22:Y25)</f>
        <v>0</v>
      </c>
      <c r="Z36" s="205">
        <f>MAX(Z22:Z25)</f>
        <v>0</v>
      </c>
      <c r="AA36" s="205" t="str">
        <f t="shared" si="7"/>
        <v>0</v>
      </c>
      <c r="AB36" s="205">
        <f>MAX(AB22:AB25)</f>
        <v>0</v>
      </c>
      <c r="AC36" s="205">
        <f>SUM(AC22:AC25)</f>
        <v>0</v>
      </c>
      <c r="AL36" s="205" t="s">
        <v>366</v>
      </c>
      <c r="AM36" s="205" t="s">
        <v>366</v>
      </c>
      <c r="AN36" s="205" t="str">
        <f t="shared" ref="AN36:AN38" si="9">Quota</f>
        <v/>
      </c>
      <c r="AO36" s="205" t="str">
        <f t="shared" si="8"/>
        <v/>
      </c>
      <c r="AX36" s="76">
        <v>34</v>
      </c>
      <c r="AZ36" s="205" t="s">
        <v>37</v>
      </c>
      <c r="BC36" s="208" t="s">
        <v>66</v>
      </c>
      <c r="BL36" s="205" t="s">
        <v>67</v>
      </c>
      <c r="BP36" s="75"/>
    </row>
    <row r="37" spans="1:73" ht="21.95" customHeight="1" x14ac:dyDescent="0.25">
      <c r="D37" s="295"/>
      <c r="E37" s="295"/>
      <c r="F37" s="304"/>
      <c r="G37" s="295"/>
      <c r="H37" s="295"/>
      <c r="I37" s="305"/>
      <c r="J37" s="295"/>
      <c r="K37" s="295"/>
      <c r="L37" s="295"/>
      <c r="M37" s="293"/>
      <c r="N37" s="294"/>
      <c r="O37" s="295"/>
      <c r="P37" s="295"/>
      <c r="R37" s="294">
        <f>IF(U27=2,0,RANK(T37,Rangfinal))</f>
        <v>1</v>
      </c>
      <c r="S37" s="294" t="e">
        <f>HLOOKUP($B$4,ScenarioTableau,11,FALSE)</f>
        <v>#N/A</v>
      </c>
      <c r="T37" s="295">
        <f>IF(W37=0,0,AC37+(AA37/1000)+(Z37/10000000000))</f>
        <v>0</v>
      </c>
      <c r="W37" s="205">
        <f>W27</f>
        <v>0</v>
      </c>
      <c r="X37" s="205">
        <f>SUM(X27:X30)</f>
        <v>0</v>
      </c>
      <c r="Y37" s="205">
        <f>SUM(Y27:Y30)</f>
        <v>0</v>
      </c>
      <c r="Z37" s="205">
        <f>MAX(Z27:Z30)</f>
        <v>0</v>
      </c>
      <c r="AA37" s="205" t="str">
        <f t="shared" si="7"/>
        <v>0</v>
      </c>
      <c r="AB37" s="205">
        <f>MAX(AB27:AB30)</f>
        <v>0</v>
      </c>
      <c r="AC37" s="205">
        <f>SUM(AC27:AC30)</f>
        <v>0</v>
      </c>
      <c r="AL37" s="205" t="str">
        <f>Quota</f>
        <v/>
      </c>
      <c r="AM37" s="205" t="str">
        <f>Quota</f>
        <v/>
      </c>
      <c r="AN37" s="205" t="str">
        <f t="shared" si="9"/>
        <v/>
      </c>
      <c r="AO37" s="205" t="str">
        <f t="shared" si="8"/>
        <v/>
      </c>
      <c r="AX37" s="76">
        <v>35</v>
      </c>
      <c r="AY37" s="205" t="str">
        <f>IF(AZ37=1,"vip1",IF(AZ37=2,"vip3","vip5"))</f>
        <v>vip1</v>
      </c>
      <c r="AZ37" s="205">
        <f>RANK(BJ37,$BJ$37:$BJ$39)</f>
        <v>1</v>
      </c>
      <c r="BA37" s="205" t="e">
        <f>HLOOKUP($B$4,Tb_Moyenneintermediaire,2,FALSE)</f>
        <v>#N/A</v>
      </c>
      <c r="BB37" s="205">
        <f>IF(ISERROR(#REF!),0,#REF!)</f>
        <v>0</v>
      </c>
      <c r="BC37" s="96">
        <f>IF(ISERROR(#REF!),0,#REF!)</f>
        <v>0</v>
      </c>
      <c r="BD37" s="96">
        <f t="shared" ref="BD37:BD42" si="10">IF(ISERROR(BL37),0,BL37)</f>
        <v>0</v>
      </c>
      <c r="BE37" s="206">
        <f>IF(ISERROR(#REF!),0,#REF!)</f>
        <v>0</v>
      </c>
      <c r="BF37" s="206">
        <f>IF(ISERROR(#REF!),0,#REF!)</f>
        <v>0</v>
      </c>
      <c r="BG37" s="97">
        <f>IF(ISERROR(#REF!),0,#REF!)</f>
        <v>0</v>
      </c>
      <c r="BH37" s="97"/>
      <c r="BI37" s="97"/>
      <c r="BJ37" s="98">
        <f t="shared" ref="BJ37:BJ42" si="11">IF(ISERROR(BM37),0,BM37)</f>
        <v>0</v>
      </c>
      <c r="BL37" s="205" t="e">
        <f t="shared" ref="BL37:BL44" si="12">VLOOKUP($BA37,$BA$45:$BK$50,4,FALSE)</f>
        <v>#N/A</v>
      </c>
      <c r="BP37" s="75"/>
    </row>
    <row r="38" spans="1:73" ht="21.95" customHeight="1" x14ac:dyDescent="0.25">
      <c r="D38" s="295"/>
      <c r="E38" s="295"/>
      <c r="F38" s="304"/>
      <c r="G38" s="295"/>
      <c r="H38" s="295"/>
      <c r="I38" s="305"/>
      <c r="J38" s="295"/>
      <c r="K38" s="295"/>
      <c r="L38" s="295"/>
      <c r="N38" s="294"/>
      <c r="O38" s="295"/>
      <c r="P38" s="295"/>
      <c r="AL38" s="205" t="s">
        <v>366</v>
      </c>
      <c r="AM38" s="205" t="s">
        <v>366</v>
      </c>
      <c r="AN38" s="205" t="str">
        <f t="shared" si="9"/>
        <v/>
      </c>
      <c r="AO38" s="205" t="str">
        <f t="shared" si="8"/>
        <v/>
      </c>
      <c r="AX38" s="76">
        <v>36</v>
      </c>
      <c r="AY38" s="205" t="str">
        <f>IF(AZ38=1,"vip1",IF(AZ38=2,"vip3","vip5"))</f>
        <v>vip1</v>
      </c>
      <c r="AZ38" s="205">
        <f>RANK(BJ38,$BJ$37:$BJ$39)</f>
        <v>1</v>
      </c>
      <c r="BA38" s="205" t="e">
        <f>HLOOKUP($B$4,Tb_Moyenneintermediaire,3,FALSE)</f>
        <v>#N/A</v>
      </c>
      <c r="BB38" s="205">
        <f>IF(ISERROR(#REF!),0,#REF!)</f>
        <v>0</v>
      </c>
      <c r="BC38" s="96">
        <f>IF(ISERROR(#REF!),0,#REF!)</f>
        <v>0</v>
      </c>
      <c r="BD38" s="96">
        <f t="shared" si="10"/>
        <v>0</v>
      </c>
      <c r="BE38" s="206">
        <f>IF(ISERROR(#REF!),0,#REF!)</f>
        <v>0</v>
      </c>
      <c r="BF38" s="206">
        <f>IF(ISERROR(#REF!),0,#REF!)</f>
        <v>0</v>
      </c>
      <c r="BG38" s="97">
        <f>IF(ISERROR(#REF!),0,#REF!)</f>
        <v>0</v>
      </c>
      <c r="BH38" s="97"/>
      <c r="BI38" s="97"/>
      <c r="BJ38" s="98">
        <f t="shared" si="11"/>
        <v>0</v>
      </c>
      <c r="BL38" s="205" t="e">
        <f t="shared" si="12"/>
        <v>#N/A</v>
      </c>
      <c r="BP38" s="75"/>
    </row>
    <row r="39" spans="1:73" ht="21" customHeight="1" x14ac:dyDescent="0.25">
      <c r="D39" s="295"/>
      <c r="E39" s="295"/>
      <c r="F39" s="304"/>
      <c r="G39" s="295"/>
      <c r="H39" s="295"/>
      <c r="I39" s="305"/>
      <c r="J39" s="295"/>
      <c r="K39" s="295"/>
      <c r="L39" s="295"/>
      <c r="Q39" s="295"/>
      <c r="R39" s="294"/>
      <c r="S39" s="294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L39" s="205" t="s">
        <v>366</v>
      </c>
      <c r="AM39" s="205" t="str">
        <f>Quota</f>
        <v/>
      </c>
      <c r="AO39" s="205" t="str">
        <f t="shared" si="8"/>
        <v/>
      </c>
      <c r="AX39" s="76">
        <v>37</v>
      </c>
      <c r="AY39" s="205" t="str">
        <f>IF(AZ39=1,"vip1",IF(AZ39=2,"vip3","vip5"))</f>
        <v>vip1</v>
      </c>
      <c r="AZ39" s="205">
        <f>RANK(BJ39,$BJ$37:$BJ$39)</f>
        <v>1</v>
      </c>
      <c r="BA39" s="205" t="e">
        <f>HLOOKUP($B$4,Tb_Moyenneintermediaire,4,FALSE)</f>
        <v>#N/A</v>
      </c>
      <c r="BB39" s="205">
        <f>IF(ISERROR(#REF!),0,#REF!)</f>
        <v>0</v>
      </c>
      <c r="BC39" s="96">
        <f>IF(ISERROR(#REF!),0,#REF!)</f>
        <v>0</v>
      </c>
      <c r="BD39" s="96">
        <f t="shared" si="10"/>
        <v>0</v>
      </c>
      <c r="BE39" s="206">
        <f>IF(ISERROR(#REF!),0,#REF!)</f>
        <v>0</v>
      </c>
      <c r="BF39" s="206">
        <f>IF(ISERROR(#REF!),0,#REF!)</f>
        <v>0</v>
      </c>
      <c r="BG39" s="97">
        <f>IF(ISERROR(#REF!),0,#REF!)</f>
        <v>0</v>
      </c>
      <c r="BH39" s="97"/>
      <c r="BI39" s="97"/>
      <c r="BJ39" s="98">
        <f t="shared" si="11"/>
        <v>0</v>
      </c>
      <c r="BL39" s="205" t="e">
        <f t="shared" si="12"/>
        <v>#N/A</v>
      </c>
      <c r="BP39" s="75"/>
    </row>
    <row r="40" spans="1:73" ht="15.75" customHeight="1" x14ac:dyDescent="0.25">
      <c r="D40" s="295"/>
      <c r="E40" s="295"/>
      <c r="F40" s="304"/>
      <c r="G40" s="295"/>
      <c r="H40" s="295"/>
      <c r="I40" s="305"/>
      <c r="J40" s="295"/>
      <c r="K40" s="295"/>
      <c r="L40" s="295"/>
      <c r="AL40" s="205" t="s">
        <v>366</v>
      </c>
      <c r="AM40" s="205" t="s">
        <v>366</v>
      </c>
      <c r="AO40" s="205" t="s">
        <v>366</v>
      </c>
      <c r="AX40" s="76">
        <v>37</v>
      </c>
      <c r="AY40" s="205" t="str">
        <f>IF(AZ40=1,"vip2",IF(AZ40=2,"vip4","vip6"))</f>
        <v>vip2</v>
      </c>
      <c r="AZ40" s="205">
        <f>RANK(BJ40,$BJ$40:$BJ$42)</f>
        <v>1</v>
      </c>
      <c r="BA40" s="205" t="e">
        <f>HLOOKUP($B$4,Tb_Moyenneintermediaire,5,FALSE)</f>
        <v>#N/A</v>
      </c>
      <c r="BB40" s="205">
        <f>IF(ISERROR(#REF!),0,#REF!)</f>
        <v>0</v>
      </c>
      <c r="BC40" s="96">
        <f>IF(ISERROR(#REF!),0,#REF!)</f>
        <v>0</v>
      </c>
      <c r="BD40" s="96">
        <f t="shared" si="10"/>
        <v>0</v>
      </c>
      <c r="BE40" s="206">
        <f>IF(ISERROR(#REF!),0,#REF!)</f>
        <v>0</v>
      </c>
      <c r="BF40" s="206">
        <f>IF(ISERROR(#REF!),0,#REF!)</f>
        <v>0</v>
      </c>
      <c r="BG40" s="97">
        <f>IF(ISERROR(#REF!),0,#REF!)</f>
        <v>0</v>
      </c>
      <c r="BH40" s="97"/>
      <c r="BI40" s="97"/>
      <c r="BJ40" s="98">
        <f t="shared" si="11"/>
        <v>0</v>
      </c>
      <c r="BL40" s="205" t="e">
        <f t="shared" si="12"/>
        <v>#N/A</v>
      </c>
      <c r="BP40" s="75"/>
    </row>
    <row r="41" spans="1:73" ht="21.75" customHeight="1" x14ac:dyDescent="0.25">
      <c r="D41" s="295"/>
      <c r="E41" s="295"/>
      <c r="F41" s="304"/>
      <c r="G41" s="295"/>
      <c r="H41" s="295"/>
      <c r="I41" s="305"/>
      <c r="J41" s="295"/>
      <c r="K41" s="295"/>
      <c r="L41" s="295"/>
      <c r="AL41" s="205" t="s">
        <v>366</v>
      </c>
      <c r="AM41" s="205" t="s">
        <v>366</v>
      </c>
      <c r="AN41" s="205" t="s">
        <v>366</v>
      </c>
      <c r="AO41" s="205" t="s">
        <v>366</v>
      </c>
      <c r="AX41" s="76">
        <v>38</v>
      </c>
      <c r="AY41" s="205" t="str">
        <f>IF(AZ41=1,"vip2",IF(AZ41=2,"vip4","vip6"))</f>
        <v>vip2</v>
      </c>
      <c r="AZ41" s="205">
        <f>RANK(BJ41,$BJ$40:$BJ$42)</f>
        <v>1</v>
      </c>
      <c r="BA41" s="205" t="e">
        <f>HLOOKUP($B$4,Tb_Moyenneintermediaire,6,FALSE)</f>
        <v>#N/A</v>
      </c>
      <c r="BB41" s="205">
        <f>IF(ISERROR(#REF!),0,#REF!)</f>
        <v>0</v>
      </c>
      <c r="BC41" s="96">
        <f>IF(ISERROR(#REF!),0,#REF!)</f>
        <v>0</v>
      </c>
      <c r="BD41" s="96">
        <f t="shared" si="10"/>
        <v>0</v>
      </c>
      <c r="BE41" s="206">
        <f>IF(ISERROR(#REF!),0,#REF!)</f>
        <v>0</v>
      </c>
      <c r="BF41" s="206">
        <f>IF(ISERROR(#REF!),0,#REF!)</f>
        <v>0</v>
      </c>
      <c r="BG41" s="97">
        <f>IF(ISERROR(#REF!),0,#REF!)</f>
        <v>0</v>
      </c>
      <c r="BH41" s="97"/>
      <c r="BI41" s="97"/>
      <c r="BJ41" s="98">
        <f t="shared" si="11"/>
        <v>0</v>
      </c>
      <c r="BL41" s="205" t="e">
        <f t="shared" si="12"/>
        <v>#N/A</v>
      </c>
      <c r="BP41" s="75"/>
    </row>
    <row r="42" spans="1:73" ht="21" customHeight="1" x14ac:dyDescent="0.25">
      <c r="D42" s="295"/>
      <c r="E42" s="295"/>
      <c r="F42" s="304"/>
      <c r="G42" s="295"/>
      <c r="H42" s="295"/>
      <c r="I42" s="305"/>
      <c r="J42" s="295"/>
      <c r="K42" s="295"/>
      <c r="L42" s="295"/>
      <c r="AL42" s="205" t="s">
        <v>366</v>
      </c>
      <c r="AM42" s="205" t="s">
        <v>366</v>
      </c>
      <c r="AN42" s="205" t="s">
        <v>366</v>
      </c>
      <c r="AO42" s="205" t="s">
        <v>366</v>
      </c>
      <c r="AX42" s="76">
        <v>39</v>
      </c>
      <c r="AY42" s="205" t="str">
        <f>IF(AZ42=1,"vip2",IF(AZ42=2,"vip4","vip6"))</f>
        <v>vip2</v>
      </c>
      <c r="AZ42" s="205">
        <f>RANK(BJ42,$BJ$40:$BJ$42)</f>
        <v>1</v>
      </c>
      <c r="BA42" s="205" t="e">
        <f>HLOOKUP($B$4,Tb_Moyenneintermediaire,7,FALSE)</f>
        <v>#N/A</v>
      </c>
      <c r="BB42" s="205">
        <f>IF(ISERROR(#REF!),0,#REF!)</f>
        <v>0</v>
      </c>
      <c r="BC42" s="96">
        <f>IF(ISERROR(#REF!),0,#REF!)</f>
        <v>0</v>
      </c>
      <c r="BD42" s="96">
        <f t="shared" si="10"/>
        <v>0</v>
      </c>
      <c r="BE42" s="206">
        <f>IF(ISERROR(#REF!),0,#REF!)</f>
        <v>0</v>
      </c>
      <c r="BF42" s="206">
        <f>IF(ISERROR(#REF!),0,#REF!)</f>
        <v>0</v>
      </c>
      <c r="BG42" s="97">
        <f>IF(ISERROR(#REF!),0,#REF!)</f>
        <v>0</v>
      </c>
      <c r="BH42" s="97"/>
      <c r="BI42" s="97"/>
      <c r="BJ42" s="98">
        <f t="shared" si="11"/>
        <v>0</v>
      </c>
      <c r="BL42" s="205" t="e">
        <f t="shared" si="12"/>
        <v>#N/A</v>
      </c>
    </row>
    <row r="43" spans="1:73" ht="21" customHeight="1" x14ac:dyDescent="0.25">
      <c r="D43" s="295"/>
      <c r="E43" s="295"/>
      <c r="F43" s="304"/>
      <c r="G43" s="295"/>
      <c r="H43" s="295"/>
      <c r="I43" s="305"/>
      <c r="J43" s="295"/>
      <c r="K43" s="295"/>
      <c r="L43" s="295"/>
      <c r="AX43" s="76">
        <v>40</v>
      </c>
      <c r="BE43" s="206"/>
      <c r="BF43" s="206"/>
      <c r="BG43" s="97"/>
      <c r="BH43" s="97"/>
      <c r="BI43" s="97"/>
      <c r="BL43" s="205" t="e">
        <f t="shared" si="12"/>
        <v>#N/A</v>
      </c>
      <c r="BR43" s="81"/>
      <c r="BS43" s="81"/>
      <c r="BT43" s="81"/>
      <c r="BU43" s="81"/>
    </row>
    <row r="44" spans="1:73" ht="23.25" customHeight="1" x14ac:dyDescent="0.25">
      <c r="D44" s="295"/>
      <c r="E44" s="295"/>
      <c r="F44" s="304"/>
      <c r="G44" s="295"/>
      <c r="H44" s="295"/>
      <c r="I44" s="305"/>
      <c r="J44" s="295"/>
      <c r="K44" s="295"/>
      <c r="L44" s="295"/>
      <c r="AW44" s="94"/>
      <c r="AX44" s="76">
        <v>41</v>
      </c>
      <c r="BE44" s="206"/>
      <c r="BF44" s="206"/>
      <c r="BG44" s="97"/>
      <c r="BH44" s="97"/>
      <c r="BI44" s="97"/>
      <c r="BL44" s="205" t="e">
        <f t="shared" si="12"/>
        <v>#N/A</v>
      </c>
    </row>
    <row r="45" spans="1:73" ht="21" customHeight="1" x14ac:dyDescent="0.25">
      <c r="D45" s="295"/>
      <c r="E45" s="295"/>
      <c r="F45" s="304"/>
      <c r="G45" s="295"/>
      <c r="H45" s="295"/>
      <c r="I45" s="305"/>
      <c r="J45" s="295"/>
      <c r="K45" s="295"/>
      <c r="L45" s="295"/>
      <c r="R45" s="69"/>
      <c r="AX45" s="76">
        <v>42</v>
      </c>
      <c r="BE45" s="75"/>
      <c r="BF45" s="74"/>
      <c r="BG45" s="206"/>
      <c r="BH45" s="206"/>
      <c r="BI45" s="206"/>
      <c r="BJ45" s="99"/>
    </row>
    <row r="46" spans="1:73" ht="21.75" customHeight="1" x14ac:dyDescent="0.25">
      <c r="D46" s="295"/>
      <c r="E46" s="295"/>
      <c r="F46" s="304"/>
      <c r="G46" s="295"/>
      <c r="H46" s="295"/>
      <c r="I46" s="305"/>
      <c r="J46" s="295"/>
      <c r="K46" s="295"/>
      <c r="L46" s="295"/>
      <c r="AX46" s="76">
        <v>43</v>
      </c>
      <c r="BE46" s="74"/>
      <c r="BF46" s="74"/>
      <c r="BG46" s="206"/>
      <c r="BH46" s="206"/>
      <c r="BI46" s="206"/>
      <c r="BJ46" s="99"/>
    </row>
    <row r="47" spans="1:73" ht="21" customHeight="1" x14ac:dyDescent="0.25">
      <c r="D47" s="295"/>
      <c r="E47" s="295"/>
      <c r="F47" s="304"/>
      <c r="G47" s="295"/>
      <c r="H47" s="295"/>
      <c r="I47" s="305"/>
      <c r="J47" s="295"/>
      <c r="K47" s="295"/>
      <c r="L47" s="295"/>
      <c r="M47" s="285"/>
      <c r="AX47" s="76">
        <v>44</v>
      </c>
      <c r="BE47" s="75"/>
      <c r="BF47" s="74"/>
      <c r="BG47" s="206"/>
      <c r="BH47" s="206"/>
      <c r="BI47" s="206"/>
      <c r="BJ47" s="99"/>
    </row>
    <row r="48" spans="1:73" ht="18.75" customHeight="1" x14ac:dyDescent="0.25">
      <c r="D48" s="295"/>
      <c r="E48" s="295"/>
      <c r="F48" s="304"/>
      <c r="G48" s="295"/>
      <c r="H48" s="295"/>
      <c r="I48" s="305"/>
      <c r="J48" s="295"/>
      <c r="K48" s="295"/>
      <c r="L48" s="295"/>
      <c r="M48" s="285"/>
      <c r="N48" s="76"/>
      <c r="O48" s="94"/>
      <c r="P48" s="94"/>
      <c r="Q48" s="94"/>
      <c r="R48" s="76"/>
      <c r="S48" s="76"/>
      <c r="T48" s="94"/>
      <c r="U48" s="94"/>
      <c r="V48" s="94"/>
      <c r="W48" s="94"/>
      <c r="X48" s="94"/>
      <c r="Y48" s="94"/>
      <c r="Z48" s="94"/>
      <c r="AX48" s="76">
        <v>45</v>
      </c>
      <c r="BE48" s="75"/>
      <c r="BF48" s="74"/>
      <c r="BG48" s="206"/>
      <c r="BH48" s="206"/>
      <c r="BI48" s="206"/>
      <c r="BJ48" s="99"/>
    </row>
    <row r="49" spans="4:62" ht="18.75" customHeight="1" x14ac:dyDescent="0.25">
      <c r="D49" s="295"/>
      <c r="E49" s="295"/>
      <c r="F49" s="304"/>
      <c r="G49" s="295"/>
      <c r="H49" s="295"/>
      <c r="I49" s="305"/>
      <c r="J49" s="295"/>
      <c r="K49" s="295"/>
      <c r="L49" s="295"/>
      <c r="M49" s="285"/>
      <c r="N49" s="76"/>
      <c r="O49" s="94"/>
      <c r="P49" s="94"/>
      <c r="Q49" s="94"/>
      <c r="R49" s="76"/>
      <c r="S49" s="76"/>
      <c r="T49" s="94"/>
      <c r="U49" s="94"/>
      <c r="V49" s="94"/>
      <c r="W49" s="94"/>
      <c r="X49" s="94"/>
      <c r="Y49" s="94"/>
      <c r="Z49" s="94"/>
      <c r="AX49" s="76">
        <v>46</v>
      </c>
      <c r="BE49" s="75"/>
      <c r="BF49" s="74"/>
      <c r="BG49" s="206"/>
      <c r="BH49" s="206"/>
      <c r="BI49" s="206"/>
      <c r="BJ49" s="99"/>
    </row>
    <row r="50" spans="4:62" ht="21" customHeight="1" x14ac:dyDescent="0.25">
      <c r="D50" s="295"/>
      <c r="E50" s="295"/>
      <c r="F50" s="304"/>
      <c r="G50" s="295"/>
      <c r="H50" s="295"/>
      <c r="I50" s="305"/>
      <c r="J50" s="295"/>
      <c r="K50" s="295"/>
      <c r="L50" s="295"/>
      <c r="M50" s="285"/>
      <c r="N50" s="76"/>
      <c r="O50" s="94"/>
      <c r="P50" s="94"/>
      <c r="Q50" s="94"/>
      <c r="R50" s="76"/>
      <c r="S50" s="76"/>
      <c r="T50" s="94"/>
      <c r="U50" s="94"/>
      <c r="V50" s="94"/>
      <c r="W50" s="94"/>
      <c r="X50" s="94"/>
      <c r="Y50" s="94"/>
      <c r="Z50" s="94"/>
      <c r="AX50" s="76">
        <v>47</v>
      </c>
      <c r="BE50" s="75"/>
      <c r="BF50" s="74"/>
      <c r="BG50" s="206"/>
      <c r="BH50" s="206"/>
      <c r="BI50" s="206"/>
      <c r="BJ50" s="99"/>
    </row>
    <row r="51" spans="4:62" ht="21.75" customHeight="1" x14ac:dyDescent="0.25">
      <c r="D51" s="295"/>
      <c r="E51" s="295"/>
      <c r="F51" s="304"/>
      <c r="G51" s="295"/>
      <c r="H51" s="295"/>
      <c r="I51" s="305"/>
      <c r="J51" s="295"/>
      <c r="K51" s="295"/>
      <c r="L51" s="295"/>
      <c r="M51" s="285"/>
      <c r="N51" s="76"/>
      <c r="O51" s="94"/>
      <c r="P51" s="94"/>
      <c r="Q51" s="94"/>
      <c r="R51" s="76"/>
      <c r="S51" s="76"/>
      <c r="T51" s="94"/>
      <c r="U51" s="94"/>
      <c r="V51" s="94"/>
      <c r="W51" s="94"/>
      <c r="X51" s="94"/>
      <c r="Y51" s="94"/>
      <c r="Z51" s="94"/>
      <c r="BC51" s="206"/>
      <c r="BD51" s="75"/>
      <c r="BF51" s="75"/>
      <c r="BG51" s="206"/>
      <c r="BH51" s="206"/>
      <c r="BI51" s="206"/>
      <c r="BJ51" s="99"/>
    </row>
    <row r="52" spans="4:62" ht="18.75" customHeight="1" x14ac:dyDescent="0.25">
      <c r="D52" s="295"/>
      <c r="E52" s="295"/>
      <c r="F52" s="304"/>
      <c r="G52" s="295"/>
      <c r="H52" s="295"/>
      <c r="I52" s="305"/>
      <c r="J52" s="295"/>
      <c r="K52" s="295"/>
      <c r="L52" s="295"/>
      <c r="M52" s="285"/>
      <c r="N52" s="76"/>
      <c r="O52" s="94"/>
      <c r="P52" s="94"/>
      <c r="Q52" s="94"/>
      <c r="R52" s="76"/>
      <c r="S52" s="76"/>
      <c r="T52" s="94"/>
      <c r="U52" s="94"/>
      <c r="V52" s="94"/>
      <c r="W52" s="94"/>
      <c r="X52" s="94"/>
      <c r="Y52" s="94"/>
      <c r="Z52" s="94"/>
      <c r="BC52" s="75"/>
      <c r="BD52" s="75"/>
      <c r="BE52" s="75"/>
      <c r="BF52" s="74"/>
      <c r="BG52" s="206"/>
      <c r="BH52" s="206"/>
      <c r="BI52" s="206"/>
      <c r="BJ52" s="99"/>
    </row>
    <row r="53" spans="4:62" ht="18.75" customHeight="1" x14ac:dyDescent="0.25">
      <c r="D53" s="295"/>
      <c r="E53" s="295"/>
      <c r="F53" s="304"/>
      <c r="G53" s="295"/>
      <c r="H53" s="295"/>
      <c r="I53" s="305"/>
      <c r="J53" s="295"/>
      <c r="K53" s="295"/>
      <c r="L53" s="295"/>
      <c r="M53" s="285"/>
      <c r="N53" s="76"/>
      <c r="O53" s="94"/>
      <c r="P53" s="94"/>
      <c r="Q53" s="94"/>
      <c r="S53" s="76"/>
      <c r="T53" s="94"/>
      <c r="U53" s="94"/>
      <c r="V53" s="94"/>
      <c r="W53" s="94"/>
      <c r="X53" s="94"/>
      <c r="Y53" s="94"/>
      <c r="Z53" s="94"/>
    </row>
    <row r="54" spans="4:62" ht="21" customHeight="1" x14ac:dyDescent="0.25">
      <c r="D54" s="295"/>
      <c r="E54" s="295"/>
      <c r="F54" s="304"/>
      <c r="G54" s="295"/>
      <c r="H54" s="295"/>
      <c r="I54" s="305"/>
      <c r="J54" s="295"/>
      <c r="K54" s="295"/>
      <c r="L54" s="295"/>
      <c r="M54" s="285"/>
      <c r="N54" s="76"/>
      <c r="O54" s="94"/>
      <c r="P54" s="94"/>
      <c r="Q54" s="94"/>
      <c r="S54" s="76"/>
      <c r="T54" s="94"/>
      <c r="U54" s="94"/>
      <c r="V54" s="94"/>
      <c r="W54" s="94"/>
      <c r="X54" s="94"/>
      <c r="Y54" s="94"/>
      <c r="Z54" s="94"/>
    </row>
    <row r="55" spans="4:62" ht="21" customHeight="1" x14ac:dyDescent="0.25">
      <c r="D55" s="295"/>
      <c r="E55" s="295"/>
      <c r="F55" s="304"/>
      <c r="G55" s="295"/>
      <c r="H55" s="295"/>
      <c r="I55" s="305"/>
      <c r="J55" s="295"/>
      <c r="K55" s="295"/>
      <c r="L55" s="295"/>
      <c r="M55" s="293"/>
      <c r="N55" s="76"/>
      <c r="O55" s="94"/>
      <c r="P55" s="94"/>
      <c r="Q55" s="94"/>
      <c r="S55" s="76"/>
      <c r="T55" s="94"/>
      <c r="U55" s="94"/>
      <c r="V55" s="94"/>
      <c r="W55" s="94"/>
      <c r="X55" s="94"/>
      <c r="Y55" s="94"/>
      <c r="Z55" s="94"/>
    </row>
    <row r="56" spans="4:62" ht="16.5" customHeight="1" x14ac:dyDescent="0.25">
      <c r="N56" s="294"/>
      <c r="O56" s="295"/>
      <c r="P56" s="295"/>
      <c r="Q56" s="295"/>
      <c r="S56" s="294"/>
      <c r="T56" s="295"/>
      <c r="U56" s="295"/>
      <c r="V56" s="295"/>
      <c r="W56" s="295"/>
      <c r="X56" s="295"/>
      <c r="Y56" s="295"/>
      <c r="Z56" s="295"/>
    </row>
    <row r="57" spans="4:62" ht="15.75" customHeight="1" x14ac:dyDescent="0.25">
      <c r="M57" s="285"/>
    </row>
    <row r="58" spans="4:62" ht="15.75" customHeight="1" x14ac:dyDescent="0.25">
      <c r="M58" s="285"/>
      <c r="N58" s="76"/>
      <c r="O58" s="94"/>
      <c r="P58" s="94"/>
      <c r="Q58" s="94"/>
      <c r="R58" s="76"/>
      <c r="S58" s="76"/>
      <c r="T58" s="94"/>
      <c r="U58" s="94"/>
      <c r="V58" s="94"/>
      <c r="W58" s="94"/>
      <c r="X58" s="94"/>
      <c r="Y58" s="94"/>
      <c r="Z58" s="94"/>
    </row>
    <row r="59" spans="4:62" ht="16.5" customHeight="1" x14ac:dyDescent="0.25">
      <c r="M59" s="285"/>
      <c r="N59" s="76"/>
      <c r="O59" s="94"/>
      <c r="P59" s="94"/>
      <c r="Q59" s="94"/>
      <c r="R59" s="76"/>
      <c r="S59" s="76"/>
      <c r="T59" s="94"/>
      <c r="U59" s="94"/>
      <c r="V59" s="94"/>
      <c r="W59" s="94"/>
      <c r="X59" s="94"/>
      <c r="Y59" s="94"/>
      <c r="Z59" s="94"/>
    </row>
    <row r="60" spans="4:62" ht="15.75" customHeight="1" x14ac:dyDescent="0.25">
      <c r="M60" s="285"/>
      <c r="N60" s="76"/>
      <c r="O60" s="94"/>
      <c r="P60" s="94"/>
      <c r="Q60" s="94"/>
      <c r="R60" s="76"/>
      <c r="S60" s="76"/>
      <c r="T60" s="94"/>
      <c r="U60" s="94"/>
      <c r="V60" s="94"/>
      <c r="W60" s="94"/>
      <c r="X60" s="94"/>
      <c r="Y60" s="94"/>
      <c r="Z60" s="94"/>
    </row>
    <row r="61" spans="4:62" ht="17.25" customHeight="1" x14ac:dyDescent="0.25">
      <c r="M61" s="285"/>
      <c r="N61" s="76"/>
      <c r="O61" s="94"/>
      <c r="P61" s="94"/>
      <c r="Q61" s="94"/>
      <c r="R61" s="76"/>
      <c r="S61" s="76"/>
      <c r="T61" s="94"/>
      <c r="U61" s="94"/>
      <c r="V61" s="94"/>
      <c r="W61" s="94"/>
      <c r="X61" s="94"/>
      <c r="Y61" s="94"/>
      <c r="Z61" s="94"/>
    </row>
    <row r="62" spans="4:62" ht="16.5" customHeight="1" x14ac:dyDescent="0.25">
      <c r="M62" s="285"/>
      <c r="N62" s="76"/>
      <c r="O62" s="94"/>
      <c r="P62" s="94"/>
      <c r="Q62" s="94"/>
      <c r="R62" s="76"/>
      <c r="S62" s="76"/>
      <c r="T62" s="94"/>
      <c r="U62" s="94"/>
      <c r="V62" s="94"/>
      <c r="W62" s="94"/>
      <c r="X62" s="94"/>
      <c r="Y62" s="94"/>
      <c r="Z62" s="94"/>
    </row>
    <row r="63" spans="4:62" ht="16.5" customHeight="1" x14ac:dyDescent="0.25">
      <c r="M63" s="285"/>
      <c r="N63" s="76"/>
      <c r="O63" s="94"/>
      <c r="P63" s="94"/>
      <c r="Q63" s="94"/>
      <c r="R63" s="76"/>
      <c r="S63" s="76"/>
      <c r="T63" s="94"/>
      <c r="U63" s="94"/>
      <c r="V63" s="94"/>
      <c r="W63" s="94"/>
      <c r="X63" s="94"/>
      <c r="Y63" s="94"/>
      <c r="Z63" s="94"/>
    </row>
    <row r="64" spans="4:62" ht="16.5" customHeight="1" x14ac:dyDescent="0.25">
      <c r="M64" s="285"/>
      <c r="N64" s="76"/>
      <c r="O64" s="94"/>
      <c r="P64" s="94"/>
      <c r="Q64" s="94"/>
      <c r="R64" s="76"/>
      <c r="S64" s="76"/>
      <c r="T64" s="94"/>
      <c r="U64" s="94"/>
      <c r="V64" s="94"/>
      <c r="W64" s="94"/>
      <c r="X64" s="94"/>
      <c r="Y64" s="94"/>
      <c r="Z64" s="94"/>
    </row>
    <row r="65" spans="13:26" ht="15.75" customHeight="1" x14ac:dyDescent="0.25">
      <c r="M65" s="285"/>
      <c r="N65" s="76"/>
      <c r="O65" s="94"/>
      <c r="P65" s="94"/>
      <c r="Q65" s="94"/>
      <c r="R65" s="76"/>
      <c r="S65" s="76"/>
      <c r="T65" s="94"/>
      <c r="U65" s="94"/>
      <c r="V65" s="94"/>
      <c r="W65" s="94"/>
      <c r="X65" s="94"/>
      <c r="Y65" s="94"/>
      <c r="Z65" s="94"/>
    </row>
    <row r="66" spans="13:26" ht="17.25" customHeight="1" x14ac:dyDescent="0.25">
      <c r="N66" s="76"/>
      <c r="O66" s="94"/>
      <c r="P66" s="94"/>
      <c r="Q66" s="94"/>
      <c r="R66" s="76"/>
      <c r="S66" s="76"/>
      <c r="T66" s="94"/>
      <c r="U66" s="94"/>
      <c r="V66" s="94"/>
      <c r="W66" s="94"/>
      <c r="X66" s="94"/>
      <c r="Y66" s="94"/>
      <c r="Z66" s="94"/>
    </row>
    <row r="67" spans="13:26" ht="15.75" customHeight="1" x14ac:dyDescent="0.25"/>
    <row r="68" spans="13:26" ht="16.5" customHeight="1" x14ac:dyDescent="0.25"/>
    <row r="69" spans="13:26" ht="15.75" customHeight="1" x14ac:dyDescent="0.25"/>
    <row r="70" spans="13:26" ht="16.5" customHeight="1" x14ac:dyDescent="0.25"/>
    <row r="71" spans="13:26" ht="16.5" customHeight="1" x14ac:dyDescent="0.25"/>
    <row r="72" spans="13:26" ht="15.75" customHeight="1" x14ac:dyDescent="0.25"/>
    <row r="73" spans="13:26" ht="15.75" customHeight="1" x14ac:dyDescent="0.25"/>
    <row r="74" spans="13:26" ht="16.5" customHeight="1" x14ac:dyDescent="0.25"/>
    <row r="75" spans="13:26" ht="15.75" customHeight="1" x14ac:dyDescent="0.25"/>
    <row r="76" spans="13:26" ht="17.25" customHeight="1" x14ac:dyDescent="0.25"/>
    <row r="77" spans="13:26" ht="16.5" customHeight="1" x14ac:dyDescent="0.25"/>
    <row r="78" spans="13:26" ht="15.75" customHeight="1" x14ac:dyDescent="0.25"/>
    <row r="79" spans="13:26" ht="16.5" customHeight="1" x14ac:dyDescent="0.25"/>
    <row r="80" spans="13:26" ht="15.75" customHeight="1" x14ac:dyDescent="0.25"/>
    <row r="81" ht="16.5" customHeight="1" x14ac:dyDescent="0.25"/>
    <row r="82" ht="15.75" customHeight="1" x14ac:dyDescent="0.25"/>
    <row r="83" ht="15.75" customHeight="1" x14ac:dyDescent="0.25"/>
    <row r="84" ht="16.5" customHeight="1" x14ac:dyDescent="0.25"/>
    <row r="85" ht="15.75" customHeight="1" x14ac:dyDescent="0.25"/>
    <row r="86" ht="17.25" customHeight="1" x14ac:dyDescent="0.25"/>
    <row r="120" spans="27:28" x14ac:dyDescent="0.25">
      <c r="AA120" s="284"/>
      <c r="AB120" s="284"/>
    </row>
    <row r="121" spans="27:28" x14ac:dyDescent="0.25">
      <c r="AA121" s="284"/>
      <c r="AB121" s="284"/>
    </row>
  </sheetData>
  <sheetProtection selectLockedCells="1"/>
  <mergeCells count="17">
    <mergeCell ref="BJ2:BM2"/>
    <mergeCell ref="AK7:AK11"/>
    <mergeCell ref="AK12:AK16"/>
    <mergeCell ref="AK17:AK21"/>
    <mergeCell ref="D2:K2"/>
    <mergeCell ref="D5:K5"/>
    <mergeCell ref="D13:K13"/>
    <mergeCell ref="D21:K21"/>
    <mergeCell ref="E7:E8"/>
    <mergeCell ref="E10:E11"/>
    <mergeCell ref="E15:E16"/>
    <mergeCell ref="E18:E19"/>
    <mergeCell ref="E31:E32"/>
    <mergeCell ref="E34:E35"/>
    <mergeCell ref="D29:K29"/>
    <mergeCell ref="E26:E27"/>
    <mergeCell ref="E23:E24"/>
  </mergeCells>
  <phoneticPr fontId="0" type="noConversion"/>
  <conditionalFormatting sqref="K7:K11 K15:K19 K23:K27">
    <cfRule type="cellIs" dxfId="50" priority="4" operator="equal">
      <formula>2</formula>
    </cfRule>
    <cfRule type="cellIs" dxfId="49" priority="3" operator="equal">
      <formula>1</formula>
    </cfRule>
    <cfRule type="cellIs" dxfId="48" priority="2" operator="equal">
      <formula>0</formula>
    </cfRule>
  </conditionalFormatting>
  <conditionalFormatting sqref="A1:XFD1048576">
    <cfRule type="containsErrors" dxfId="47" priority="1">
      <formula>ISERROR(A1)</formula>
    </cfRule>
  </conditionalFormatting>
  <pageMargins left="0.17" right="0.25" top="0.6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16"/>
  <sheetViews>
    <sheetView zoomScale="80" zoomScaleNormal="80" workbookViewId="0">
      <selection activeCell="B1" sqref="B1"/>
    </sheetView>
  </sheetViews>
  <sheetFormatPr baseColWidth="10" defaultColWidth="11.42578125" defaultRowHeight="12.75" x14ac:dyDescent="0.25"/>
  <cols>
    <col min="1" max="1" width="1.140625" style="40" customWidth="1"/>
    <col min="2" max="2" width="8.7109375" style="40" customWidth="1"/>
    <col min="3" max="3" width="8.85546875" style="40" bestFit="1" customWidth="1"/>
    <col min="4" max="4" width="30.7109375" style="40" customWidth="1"/>
    <col min="5" max="5" width="9.5703125" style="40" customWidth="1"/>
    <col min="6" max="6" width="9.5703125" style="42" customWidth="1"/>
    <col min="7" max="10" width="9.5703125" style="40" customWidth="1"/>
    <col min="11" max="11" width="3.7109375" style="40" customWidth="1"/>
    <col min="12" max="12" width="5.7109375" style="40" customWidth="1"/>
    <col min="13" max="13" width="28.7109375" style="123" customWidth="1"/>
    <col min="14" max="14" width="6.28515625" style="40" bestFit="1" customWidth="1"/>
    <col min="15" max="15" width="8.28515625" style="42" bestFit="1" customWidth="1"/>
    <col min="16" max="16" width="5.28515625" style="40" bestFit="1" customWidth="1"/>
    <col min="17" max="17" width="8.5703125" style="120" bestFit="1" customWidth="1"/>
    <col min="18" max="18" width="9.5703125" style="40" bestFit="1" customWidth="1"/>
    <col min="19" max="19" width="7.7109375" style="40" customWidth="1"/>
    <col min="20" max="21" width="7.7109375" style="40" hidden="1" customWidth="1"/>
    <col min="22" max="22" width="4.28515625" style="40" hidden="1" customWidth="1"/>
    <col min="23" max="23" width="2.5703125" style="40" hidden="1" customWidth="1"/>
    <col min="24" max="25" width="4.5703125" style="40" hidden="1" customWidth="1"/>
    <col min="26" max="26" width="12" style="40" hidden="1" customWidth="1"/>
    <col min="27" max="28" width="3.28515625" style="40" hidden="1" customWidth="1"/>
    <col min="29" max="29" width="8.28515625" style="40" hidden="1" customWidth="1"/>
    <col min="30" max="30" width="20.85546875" style="40" hidden="1" customWidth="1"/>
    <col min="31" max="31" width="4" style="40" hidden="1" customWidth="1"/>
    <col min="32" max="33" width="3" style="40" hidden="1" customWidth="1"/>
    <col min="34" max="35" width="12" style="40" hidden="1" customWidth="1"/>
    <col min="36" max="36" width="4.5703125" style="40" hidden="1" customWidth="1"/>
    <col min="37" max="37" width="6.85546875" style="40" hidden="1" customWidth="1"/>
    <col min="38" max="73" width="11.42578125" style="40" hidden="1" customWidth="1"/>
    <col min="74" max="80" width="0" style="40" hidden="1" customWidth="1"/>
    <col min="81" max="16384" width="11.42578125" style="40"/>
  </cols>
  <sheetData>
    <row r="1" spans="1:37" ht="23.1" customHeight="1" x14ac:dyDescent="0.25"/>
    <row r="2" spans="1:37" ht="23.1" customHeight="1" x14ac:dyDescent="0.25">
      <c r="B2" s="346" t="s">
        <v>70</v>
      </c>
      <c r="C2" s="347"/>
      <c r="D2" s="347"/>
      <c r="E2" s="347"/>
      <c r="F2" s="347"/>
      <c r="G2" s="347"/>
      <c r="H2" s="347"/>
      <c r="I2" s="347"/>
      <c r="J2" s="348"/>
      <c r="L2" s="43"/>
      <c r="M2" s="272" t="s">
        <v>362</v>
      </c>
      <c r="N2" s="272" t="s">
        <v>363</v>
      </c>
      <c r="O2" s="272" t="s">
        <v>364</v>
      </c>
      <c r="P2" s="272" t="s">
        <v>79</v>
      </c>
      <c r="Q2" s="273" t="s">
        <v>69</v>
      </c>
      <c r="R2" s="272" t="s">
        <v>365</v>
      </c>
      <c r="S2" s="103"/>
      <c r="T2" s="103"/>
      <c r="U2" s="103"/>
      <c r="V2" s="41"/>
      <c r="W2" s="41"/>
      <c r="X2" s="41"/>
      <c r="Y2" s="41"/>
    </row>
    <row r="3" spans="1:37" ht="23.1" customHeight="1" x14ac:dyDescent="0.25">
      <c r="F3" s="104"/>
      <c r="G3" s="209"/>
      <c r="H3" s="209"/>
      <c r="L3" s="43"/>
      <c r="M3" s="121"/>
      <c r="N3" s="44"/>
      <c r="O3" s="43"/>
      <c r="P3" s="43"/>
      <c r="Q3" s="118"/>
      <c r="R3" s="43"/>
      <c r="S3" s="43"/>
      <c r="T3" s="43"/>
      <c r="U3" s="43"/>
      <c r="V3" s="43"/>
      <c r="W3" s="43"/>
      <c r="X3" s="314">
        <v>1</v>
      </c>
      <c r="Y3" s="314">
        <v>2</v>
      </c>
      <c r="Z3" s="314">
        <v>3</v>
      </c>
      <c r="AA3" s="314">
        <v>4</v>
      </c>
      <c r="AB3" s="314">
        <v>5</v>
      </c>
      <c r="AC3" s="314">
        <v>6</v>
      </c>
      <c r="AD3" s="314">
        <v>7</v>
      </c>
      <c r="AE3" s="314">
        <v>8</v>
      </c>
      <c r="AF3" s="314">
        <v>9</v>
      </c>
      <c r="AG3" s="314">
        <v>10</v>
      </c>
      <c r="AH3" s="314">
        <v>11</v>
      </c>
      <c r="AI3" s="314">
        <v>12</v>
      </c>
      <c r="AJ3" s="314">
        <v>13</v>
      </c>
      <c r="AK3" s="314">
        <v>14</v>
      </c>
    </row>
    <row r="4" spans="1:37" ht="23.1" customHeight="1" x14ac:dyDescent="0.25">
      <c r="A4" s="42"/>
      <c r="D4" s="45" t="s">
        <v>71</v>
      </c>
      <c r="E4" s="365" t="str">
        <f>IF(Tirage!H5="","",Tirage!H5)</f>
        <v/>
      </c>
      <c r="F4" s="365"/>
      <c r="G4" s="365"/>
      <c r="H4" s="365"/>
      <c r="L4" s="349" t="e">
        <f>Match!D5</f>
        <v>#N/A</v>
      </c>
      <c r="M4" s="274" t="e">
        <f>Match!$D$7</f>
        <v>#N/A</v>
      </c>
      <c r="N4" s="275" t="str">
        <f>IF(Match!$F7="","",Match!$F7)</f>
        <v/>
      </c>
      <c r="O4" s="275" t="str">
        <f>IF(Match!$G7="","",Match!$G7)</f>
        <v/>
      </c>
      <c r="P4" s="275" t="str">
        <f>IF(Match!$H7="","",Match!$H7)</f>
        <v/>
      </c>
      <c r="Q4" s="276" t="str">
        <f>IF(O4="","",N4/O4)</f>
        <v/>
      </c>
      <c r="R4" s="277" t="str">
        <f>IF(Match!$K7="","",Match!$K7)</f>
        <v/>
      </c>
      <c r="S4" s="100"/>
      <c r="T4" s="37"/>
      <c r="U4" s="37"/>
      <c r="V4" s="43"/>
      <c r="W4" s="43"/>
      <c r="X4" s="43">
        <f>Match!R33</f>
        <v>1</v>
      </c>
      <c r="Y4" s="43" t="e">
        <f>Match!S33</f>
        <v>#N/A</v>
      </c>
      <c r="Z4" s="43">
        <f>Match!T33</f>
        <v>0</v>
      </c>
      <c r="AA4" s="43"/>
      <c r="AB4" s="43">
        <f>Match!AC33</f>
        <v>0</v>
      </c>
      <c r="AC4" s="43">
        <f>Match!W33</f>
        <v>0</v>
      </c>
      <c r="AD4" s="43" t="str">
        <f>VLOOKUP(AC4,Z21:AD25,2,FALSE)</f>
        <v/>
      </c>
      <c r="AE4" s="43">
        <f>Match!X33</f>
        <v>0</v>
      </c>
      <c r="AF4" s="43">
        <f>Match!Y33</f>
        <v>0</v>
      </c>
      <c r="AG4" s="43">
        <f>Match!Z33</f>
        <v>0</v>
      </c>
      <c r="AH4" s="43" t="str">
        <f>Match!AA33</f>
        <v>0</v>
      </c>
      <c r="AI4" s="43">
        <f>Match!AB33</f>
        <v>0</v>
      </c>
      <c r="AJ4" s="43">
        <f>Match!AC33</f>
        <v>0</v>
      </c>
      <c r="AK4" s="43">
        <f>Match!AD40</f>
        <v>0</v>
      </c>
    </row>
    <row r="5" spans="1:37" ht="23.1" customHeight="1" x14ac:dyDescent="0.25">
      <c r="D5" s="45" t="s">
        <v>72</v>
      </c>
      <c r="E5" s="365" t="str">
        <f>IF(Tirage!H6="","",Tirage!H6)</f>
        <v/>
      </c>
      <c r="F5" s="365"/>
      <c r="G5" s="365"/>
      <c r="H5" s="365"/>
      <c r="L5" s="350"/>
      <c r="M5" s="274" t="e">
        <f>Match!$D$8</f>
        <v>#N/A</v>
      </c>
      <c r="N5" s="275" t="str">
        <f>IF(Match!$F8="","",Match!$F8)</f>
        <v/>
      </c>
      <c r="O5" s="275" t="str">
        <f>IF(Match!$G8="","",Match!$G8)</f>
        <v/>
      </c>
      <c r="P5" s="275" t="str">
        <f>IF(Match!$H8="","",Match!$H8)</f>
        <v/>
      </c>
      <c r="Q5" s="276" t="str">
        <f t="shared" ref="Q5:Q7" si="0">IF(O5="","",N5/O5)</f>
        <v/>
      </c>
      <c r="R5" s="277" t="str">
        <f>IF(Match!$K8="","",Match!$K8)</f>
        <v/>
      </c>
      <c r="S5" s="100"/>
      <c r="T5" s="37"/>
      <c r="U5" s="37"/>
      <c r="V5" s="43"/>
      <c r="W5" s="43"/>
      <c r="X5" s="43">
        <f>Match!R34</f>
        <v>1</v>
      </c>
      <c r="Y5" s="43" t="e">
        <f>Match!S34</f>
        <v>#N/A</v>
      </c>
      <c r="Z5" s="43">
        <f>Match!T34</f>
        <v>0</v>
      </c>
      <c r="AA5" s="43"/>
      <c r="AB5" s="43">
        <f>Match!AC34</f>
        <v>0</v>
      </c>
      <c r="AC5" s="43">
        <f>Match!W34</f>
        <v>0</v>
      </c>
      <c r="AD5" s="43" t="str">
        <f t="shared" ref="AD5:AD8" si="1">VLOOKUP(AC5,Z22:AD26,2,FALSE)</f>
        <v/>
      </c>
      <c r="AE5" s="43">
        <f>Match!X34</f>
        <v>0</v>
      </c>
      <c r="AF5" s="43">
        <f>Match!Y34</f>
        <v>0</v>
      </c>
      <c r="AG5" s="43">
        <f>Match!Z34</f>
        <v>0</v>
      </c>
      <c r="AH5" s="43" t="str">
        <f>Match!AA34</f>
        <v>0</v>
      </c>
      <c r="AI5" s="43">
        <f>Match!AB34</f>
        <v>0</v>
      </c>
      <c r="AJ5" s="43">
        <f>Match!AC34</f>
        <v>0</v>
      </c>
      <c r="AK5" s="43">
        <f>Match!AD41</f>
        <v>0</v>
      </c>
    </row>
    <row r="6" spans="1:37" ht="23.1" customHeight="1" x14ac:dyDescent="0.25">
      <c r="D6" s="46" t="str">
        <f>Tirage!F7</f>
        <v>Catégorie</v>
      </c>
      <c r="E6" s="365" t="str">
        <f>IF(Tirage!H7="","",Tirage!H7)</f>
        <v/>
      </c>
      <c r="F6" s="365"/>
      <c r="G6" s="365"/>
      <c r="H6" s="365"/>
      <c r="L6" s="350"/>
      <c r="M6" s="274" t="e">
        <f>Match!$D$10</f>
        <v>#N/A</v>
      </c>
      <c r="N6" s="275" t="str">
        <f>IF(Match!$F10="","",Match!$F10)</f>
        <v/>
      </c>
      <c r="O6" s="275" t="str">
        <f>IF(Match!$G10="","",Match!$G10)</f>
        <v/>
      </c>
      <c r="P6" s="275" t="str">
        <f>IF(Match!$H10="","",Match!$H10)</f>
        <v/>
      </c>
      <c r="Q6" s="276" t="str">
        <f t="shared" si="0"/>
        <v/>
      </c>
      <c r="R6" s="277" t="str">
        <f>IF(Match!$K10="","",Match!$K10)</f>
        <v/>
      </c>
      <c r="S6" s="100"/>
      <c r="T6" s="37"/>
      <c r="U6" s="37"/>
      <c r="V6" s="43"/>
      <c r="W6" s="43"/>
      <c r="X6" s="43">
        <f>IF(ISERROR(Match!R35),0,Match!R35)</f>
        <v>1</v>
      </c>
      <c r="Y6" s="43" t="e">
        <f>Match!S35</f>
        <v>#N/A</v>
      </c>
      <c r="Z6" s="43">
        <f>Match!T35</f>
        <v>0</v>
      </c>
      <c r="AA6" s="43"/>
      <c r="AB6" s="43">
        <f>Match!AC35</f>
        <v>0</v>
      </c>
      <c r="AC6" s="43">
        <f>Match!W35</f>
        <v>0</v>
      </c>
      <c r="AD6" s="43" t="str">
        <f t="shared" si="1"/>
        <v/>
      </c>
      <c r="AE6" s="43">
        <f>Match!X35</f>
        <v>0</v>
      </c>
      <c r="AF6" s="43">
        <f>Match!Y35</f>
        <v>0</v>
      </c>
      <c r="AG6" s="43">
        <f>Match!Z35</f>
        <v>0</v>
      </c>
      <c r="AH6" s="43" t="str">
        <f>Match!AA35</f>
        <v>0</v>
      </c>
      <c r="AI6" s="43">
        <f>Match!AB35</f>
        <v>0</v>
      </c>
      <c r="AJ6" s="43">
        <f>Match!AC35</f>
        <v>0</v>
      </c>
      <c r="AK6" s="43">
        <f>Match!AD42</f>
        <v>0</v>
      </c>
    </row>
    <row r="7" spans="1:37" ht="23.1" customHeight="1" x14ac:dyDescent="0.25">
      <c r="D7" s="45" t="s">
        <v>73</v>
      </c>
      <c r="E7" s="365" t="str">
        <f>IF(Tirage!H8="","",Tirage!H8)</f>
        <v/>
      </c>
      <c r="F7" s="365"/>
      <c r="G7" s="365"/>
      <c r="H7" s="365"/>
      <c r="L7" s="351"/>
      <c r="M7" s="274" t="e">
        <f>Match!$D$11</f>
        <v>#N/A</v>
      </c>
      <c r="N7" s="275" t="str">
        <f>IF(Match!$F11="","",Match!$F11)</f>
        <v/>
      </c>
      <c r="O7" s="275" t="str">
        <f>IF(Match!$G11="","",Match!$G11)</f>
        <v/>
      </c>
      <c r="P7" s="275" t="str">
        <f>IF(Match!$H11="","",Match!$H11)</f>
        <v/>
      </c>
      <c r="Q7" s="276" t="str">
        <f t="shared" si="0"/>
        <v/>
      </c>
      <c r="R7" s="277" t="str">
        <f>IF(Match!$K11="","",Match!$K11)</f>
        <v/>
      </c>
      <c r="S7" s="100"/>
      <c r="T7" s="37"/>
      <c r="U7" s="37"/>
      <c r="V7" s="43"/>
      <c r="W7" s="43"/>
      <c r="X7" s="43">
        <f>IF(ISERROR(Match!R36),0,Match!R36)</f>
        <v>1</v>
      </c>
      <c r="Y7" s="43" t="e">
        <f>Match!S36</f>
        <v>#N/A</v>
      </c>
      <c r="Z7" s="43">
        <f>Match!T36</f>
        <v>0</v>
      </c>
      <c r="AA7" s="43"/>
      <c r="AB7" s="43">
        <f>Match!AC36</f>
        <v>0</v>
      </c>
      <c r="AC7" s="43">
        <f>Match!W36</f>
        <v>0</v>
      </c>
      <c r="AD7" s="43" t="str">
        <f t="shared" si="1"/>
        <v/>
      </c>
      <c r="AE7" s="43">
        <f>Match!X36</f>
        <v>0</v>
      </c>
      <c r="AF7" s="43">
        <f>Match!Y36</f>
        <v>0</v>
      </c>
      <c r="AG7" s="43">
        <f>Match!Z36</f>
        <v>0</v>
      </c>
      <c r="AH7" s="43" t="str">
        <f>IF(AC7=0,"",Match!AA36)</f>
        <v/>
      </c>
      <c r="AI7" s="43">
        <f>Match!AB36</f>
        <v>0</v>
      </c>
      <c r="AJ7" s="43">
        <f>Match!AC36</f>
        <v>0</v>
      </c>
      <c r="AK7" s="43">
        <f>Match!AD43</f>
        <v>0</v>
      </c>
    </row>
    <row r="8" spans="1:37" ht="23.1" customHeight="1" x14ac:dyDescent="0.25">
      <c r="D8" s="45" t="s">
        <v>74</v>
      </c>
      <c r="E8" s="364" t="str">
        <f>IF(Tirage!H9="","",Tirage!H9)</f>
        <v/>
      </c>
      <c r="F8" s="364"/>
      <c r="G8" s="364"/>
      <c r="H8" s="364"/>
      <c r="J8" s="43"/>
      <c r="M8" s="362"/>
      <c r="N8" s="362"/>
      <c r="O8" s="362"/>
      <c r="P8" s="362"/>
      <c r="Q8" s="362"/>
      <c r="R8" s="362"/>
      <c r="S8" s="43"/>
      <c r="T8" s="43"/>
      <c r="U8" s="43"/>
      <c r="V8" s="43"/>
      <c r="W8" s="43"/>
      <c r="X8" s="43">
        <f>IF(ISERROR(Match!R37),0,Match!R37)</f>
        <v>1</v>
      </c>
      <c r="Y8" s="43" t="e">
        <f>Match!S37</f>
        <v>#N/A</v>
      </c>
      <c r="Z8" s="43">
        <f>Match!T37</f>
        <v>0</v>
      </c>
      <c r="AA8" s="43"/>
      <c r="AB8" s="43">
        <f>Match!AC37</f>
        <v>0</v>
      </c>
      <c r="AC8" s="43">
        <f>Match!W37</f>
        <v>0</v>
      </c>
      <c r="AD8" s="43" t="str">
        <f t="shared" si="1"/>
        <v/>
      </c>
      <c r="AE8" s="43">
        <f>Match!X37</f>
        <v>0</v>
      </c>
      <c r="AF8" s="43">
        <f>Match!Y37</f>
        <v>0</v>
      </c>
      <c r="AG8" s="43">
        <f>Match!Z37</f>
        <v>0</v>
      </c>
      <c r="AH8" s="43" t="str">
        <f>IF(AC8=0,"",Match!AA37)</f>
        <v/>
      </c>
      <c r="AI8" s="43">
        <f>Match!AB37</f>
        <v>0</v>
      </c>
      <c r="AJ8" s="43">
        <f>Match!AC37</f>
        <v>0</v>
      </c>
      <c r="AK8" s="43">
        <f>Match!AD44</f>
        <v>0</v>
      </c>
    </row>
    <row r="9" spans="1:37" ht="23.1" customHeight="1" x14ac:dyDescent="0.25">
      <c r="D9" s="45" t="s">
        <v>10</v>
      </c>
      <c r="E9" s="364" t="str">
        <f>IF(Tirage!H11="","",Tirage!H11)</f>
        <v/>
      </c>
      <c r="F9" s="364"/>
      <c r="G9" s="364"/>
      <c r="H9" s="364"/>
      <c r="L9" s="349" t="e">
        <f>Match!D13</f>
        <v>#N/A</v>
      </c>
      <c r="M9" s="274" t="e">
        <f>Match!$D$15</f>
        <v>#N/A</v>
      </c>
      <c r="N9" s="275" t="str">
        <f>IF(Match!$F15="","",Match!$F15)</f>
        <v/>
      </c>
      <c r="O9" s="275" t="str">
        <f>IF(Match!$G15="","",Match!$G15)</f>
        <v/>
      </c>
      <c r="P9" s="275" t="str">
        <f>IF(Match!$H15="","",Match!$H15)</f>
        <v/>
      </c>
      <c r="Q9" s="276" t="str">
        <f>IF(O9="","",N9/O9)</f>
        <v/>
      </c>
      <c r="R9" s="277" t="str">
        <f>IF(Match!$K15="","",Match!$K15)</f>
        <v/>
      </c>
      <c r="S9" s="100"/>
      <c r="T9" s="37"/>
      <c r="U9" s="37"/>
      <c r="V9" s="43"/>
      <c r="W9" s="43"/>
      <c r="X9" s="43"/>
      <c r="Y9" s="43"/>
    </row>
    <row r="10" spans="1:37" ht="23.1" customHeight="1" x14ac:dyDescent="0.25">
      <c r="L10" s="350"/>
      <c r="M10" s="274" t="e">
        <f>Match!$D$16</f>
        <v>#N/A</v>
      </c>
      <c r="N10" s="275" t="str">
        <f>IF(Match!$F16="","",Match!$F16)</f>
        <v/>
      </c>
      <c r="O10" s="275" t="str">
        <f>IF(Match!$G16="","",Match!$G16)</f>
        <v/>
      </c>
      <c r="P10" s="275" t="str">
        <f>IF(Match!$H16="","",Match!$H16)</f>
        <v/>
      </c>
      <c r="Q10" s="276" t="str">
        <f t="shared" ref="Q10:Q12" si="2">IF(O10="","",N10/O10)</f>
        <v/>
      </c>
      <c r="R10" s="277" t="str">
        <f>IF(Match!$K16="","",Match!$K16)</f>
        <v/>
      </c>
      <c r="S10" s="100"/>
      <c r="T10" s="37"/>
      <c r="U10" s="37"/>
      <c r="V10" s="43"/>
      <c r="W10" s="43"/>
      <c r="X10" s="43"/>
      <c r="Y10" s="43"/>
    </row>
    <row r="11" spans="1:37" ht="23.1" customHeight="1" thickBot="1" x14ac:dyDescent="0.3">
      <c r="L11" s="350"/>
      <c r="M11" s="274" t="e">
        <f>Match!$D$18</f>
        <v>#N/A</v>
      </c>
      <c r="N11" s="275" t="str">
        <f>IF(Match!$F18="","",Match!$F18)</f>
        <v/>
      </c>
      <c r="O11" s="275" t="str">
        <f>IF(Match!$G18="","",Match!$G18)</f>
        <v/>
      </c>
      <c r="P11" s="275" t="str">
        <f>IF(Match!$H18="","",Match!$H18)</f>
        <v/>
      </c>
      <c r="Q11" s="276" t="str">
        <f t="shared" si="2"/>
        <v/>
      </c>
      <c r="R11" s="277" t="str">
        <f>IF(Match!$K18="","",Match!$K18)</f>
        <v/>
      </c>
      <c r="S11" s="100"/>
      <c r="T11" s="37"/>
      <c r="U11" s="37"/>
      <c r="V11" s="43"/>
      <c r="W11" s="43"/>
      <c r="X11" s="43"/>
      <c r="Y11" s="43"/>
    </row>
    <row r="12" spans="1:37" ht="23.1" customHeight="1" x14ac:dyDescent="0.25">
      <c r="B12" s="47" t="s">
        <v>75</v>
      </c>
      <c r="C12" s="48" t="s">
        <v>277</v>
      </c>
      <c r="D12" s="48" t="s">
        <v>76</v>
      </c>
      <c r="E12" s="48" t="s">
        <v>77</v>
      </c>
      <c r="F12" s="49" t="s">
        <v>363</v>
      </c>
      <c r="G12" s="48" t="s">
        <v>78</v>
      </c>
      <c r="H12" s="48" t="s">
        <v>79</v>
      </c>
      <c r="I12" s="48" t="s">
        <v>69</v>
      </c>
      <c r="J12" s="50" t="s">
        <v>68</v>
      </c>
      <c r="L12" s="351"/>
      <c r="M12" s="274" t="e">
        <f>Match!$D$19</f>
        <v>#N/A</v>
      </c>
      <c r="N12" s="275" t="str">
        <f>IF(Match!$F19="","",Match!$F19)</f>
        <v/>
      </c>
      <c r="O12" s="275" t="str">
        <f>IF(Match!$G19="","",Match!$G19)</f>
        <v/>
      </c>
      <c r="P12" s="275" t="str">
        <f>IF(Match!$H19="","",Match!$H19)</f>
        <v/>
      </c>
      <c r="Q12" s="276" t="str">
        <f t="shared" si="2"/>
        <v/>
      </c>
      <c r="R12" s="277" t="str">
        <f>IF(Match!$K19="","",Match!$K19)</f>
        <v/>
      </c>
      <c r="S12" s="100"/>
      <c r="T12" s="37"/>
      <c r="U12" s="37"/>
      <c r="W12" s="43"/>
      <c r="X12" s="43"/>
      <c r="Y12" s="43"/>
    </row>
    <row r="13" spans="1:37" ht="23.1" customHeight="1" x14ac:dyDescent="0.25">
      <c r="B13" s="261" t="e">
        <f>X13</f>
        <v>#N/A</v>
      </c>
      <c r="C13" s="262" t="e">
        <f>VLOOKUP(B13,ClassFeuilleResultat,6,FALSE)</f>
        <v>#N/A</v>
      </c>
      <c r="D13" s="262" t="e">
        <f>VLOOKUP($B13,ClassFeuilleResultat,7,FALSE)</f>
        <v>#N/A</v>
      </c>
      <c r="E13" s="262" t="e">
        <f>VLOOKUP($B13,ClassFeuilleResultat,5,FALSE)</f>
        <v>#N/A</v>
      </c>
      <c r="F13" s="263" t="e">
        <f>VLOOKUP($B13,ClassFeuilleResultat,8,FALSE)</f>
        <v>#N/A</v>
      </c>
      <c r="G13" s="262" t="e">
        <f>VLOOKUP($B13,ClassFeuilleResultat,9,FALSE)</f>
        <v>#N/A</v>
      </c>
      <c r="H13" s="262" t="e">
        <f>VLOOKUP($B13,ClassFeuilleResultat,10,FALSE)</f>
        <v>#N/A</v>
      </c>
      <c r="I13" s="264" t="e">
        <f>F13/G13</f>
        <v>#N/A</v>
      </c>
      <c r="J13" s="265" t="e">
        <f>VLOOKUP($B13,ClassFeuilleResultat,12,FALSE)</f>
        <v>#N/A</v>
      </c>
      <c r="M13" s="363"/>
      <c r="N13" s="363"/>
      <c r="O13" s="363"/>
      <c r="P13" s="363"/>
      <c r="Q13" s="363"/>
      <c r="R13" s="363"/>
      <c r="S13" s="101"/>
      <c r="T13" s="101"/>
      <c r="U13" s="101"/>
      <c r="W13" s="43"/>
      <c r="X13" s="43" t="e">
        <f>HLOOKUP(Tirage!$Q$5,ScenarioTableau,2,FALSE)</f>
        <v>#N/A</v>
      </c>
      <c r="Y13" s="43"/>
    </row>
    <row r="14" spans="1:37" ht="23.1" customHeight="1" x14ac:dyDescent="0.25">
      <c r="B14" s="261" t="e">
        <f t="shared" ref="B14:B17" si="3">X14</f>
        <v>#N/A</v>
      </c>
      <c r="C14" s="262" t="e">
        <f>VLOOKUP(B14,ClassFeuilleResultat,6,FALSE)</f>
        <v>#N/A</v>
      </c>
      <c r="D14" s="262" t="e">
        <f>VLOOKUP($B14,ClassFeuilleResultat,7,FALSE)</f>
        <v>#N/A</v>
      </c>
      <c r="E14" s="262" t="e">
        <f>VLOOKUP($B14,ClassFeuilleResultat,5,FALSE)</f>
        <v>#N/A</v>
      </c>
      <c r="F14" s="263" t="e">
        <f>VLOOKUP($B14,ClassFeuilleResultat,8,FALSE)</f>
        <v>#N/A</v>
      </c>
      <c r="G14" s="262" t="e">
        <f>VLOOKUP($B14,ClassFeuilleResultat,9,FALSE)</f>
        <v>#N/A</v>
      </c>
      <c r="H14" s="262" t="e">
        <f>VLOOKUP($B14,ClassFeuilleResultat,10,FALSE)</f>
        <v>#N/A</v>
      </c>
      <c r="I14" s="264" t="e">
        <f t="shared" ref="I14" si="4">F14/G14</f>
        <v>#N/A</v>
      </c>
      <c r="J14" s="265" t="e">
        <f>VLOOKUP($B14,ClassFeuilleResultat,12,FALSE)</f>
        <v>#N/A</v>
      </c>
      <c r="L14" s="349" t="e">
        <f>Match!D21</f>
        <v>#N/A</v>
      </c>
      <c r="M14" s="274" t="e">
        <f>Match!$D$23</f>
        <v>#N/A</v>
      </c>
      <c r="N14" s="275" t="str">
        <f>IF(Match!$F23="","",Match!$F23)</f>
        <v/>
      </c>
      <c r="O14" s="275" t="str">
        <f>IF(Match!$G23="","",Match!$G23)</f>
        <v/>
      </c>
      <c r="P14" s="275" t="str">
        <f>IF(Match!$H23="","",Match!$H23)</f>
        <v/>
      </c>
      <c r="Q14" s="276" t="str">
        <f>IF(O14="","",N14/O14)</f>
        <v/>
      </c>
      <c r="R14" s="277" t="str">
        <f>IF(Match!$K23="","",Match!$K23)</f>
        <v/>
      </c>
      <c r="S14" s="100"/>
      <c r="T14" s="37"/>
      <c r="U14" s="37"/>
      <c r="W14" s="43"/>
      <c r="X14" s="43" t="e">
        <f>HLOOKUP(Tirage!$Q$5,ScenarioTableau,3,FALSE)</f>
        <v>#N/A</v>
      </c>
      <c r="Y14" s="43"/>
    </row>
    <row r="15" spans="1:37" ht="23.1" customHeight="1" x14ac:dyDescent="0.25">
      <c r="B15" s="261" t="e">
        <f t="shared" si="3"/>
        <v>#N/A</v>
      </c>
      <c r="C15" s="262" t="e">
        <f>VLOOKUP(B15,ClassFeuilleResultat,6,FALSE)</f>
        <v>#N/A</v>
      </c>
      <c r="D15" s="262" t="e">
        <f>VLOOKUP($B15,ClassFeuilleResultat,7,FALSE)</f>
        <v>#N/A</v>
      </c>
      <c r="E15" s="262" t="e">
        <f>VLOOKUP($B15,ClassFeuilleResultat,5,FALSE)</f>
        <v>#N/A</v>
      </c>
      <c r="F15" s="263" t="e">
        <f>VLOOKUP($B15,ClassFeuilleResultat,8,FALSE)</f>
        <v>#N/A</v>
      </c>
      <c r="G15" s="262" t="e">
        <f>VLOOKUP($B15,ClassFeuilleResultat,9,FALSE)</f>
        <v>#N/A</v>
      </c>
      <c r="H15" s="262" t="e">
        <f>VLOOKUP($B15,ClassFeuilleResultat,10,FALSE)</f>
        <v>#N/A</v>
      </c>
      <c r="I15" s="264" t="e">
        <f>IF(C15=0,"",F15/G15)</f>
        <v>#N/A</v>
      </c>
      <c r="J15" s="265" t="e">
        <f>VLOOKUP($B15,ClassFeuilleResultat,12,FALSE)</f>
        <v>#N/A</v>
      </c>
      <c r="L15" s="350"/>
      <c r="M15" s="274" t="e">
        <f>Match!$D$24</f>
        <v>#N/A</v>
      </c>
      <c r="N15" s="275" t="str">
        <f>IF(Match!$F24="","",Match!$F24)</f>
        <v/>
      </c>
      <c r="O15" s="275" t="str">
        <f>IF(Match!$G24="","",Match!$G24)</f>
        <v/>
      </c>
      <c r="P15" s="275" t="str">
        <f>IF(Match!$H24="","",Match!$H24)</f>
        <v/>
      </c>
      <c r="Q15" s="276" t="str">
        <f t="shared" ref="Q15:Q17" si="5">IF(O15="","",N15/O15)</f>
        <v/>
      </c>
      <c r="R15" s="277" t="str">
        <f>IF(Match!$K24="","",Match!$K24)</f>
        <v/>
      </c>
      <c r="S15" s="100"/>
      <c r="T15" s="37"/>
      <c r="U15" s="37"/>
      <c r="W15" s="43"/>
      <c r="X15" s="43" t="e">
        <f>HLOOKUP(Tirage!$Q$5,ScenarioTableau,4,FALSE)</f>
        <v>#N/A</v>
      </c>
      <c r="Y15" s="43"/>
    </row>
    <row r="16" spans="1:37" ht="23.1" customHeight="1" x14ac:dyDescent="0.25">
      <c r="B16" s="261" t="e">
        <f t="shared" si="3"/>
        <v>#N/A</v>
      </c>
      <c r="C16" s="262" t="e">
        <f>VLOOKUP(B16,ClassFeuilleResultat,6,FALSE)</f>
        <v>#N/A</v>
      </c>
      <c r="D16" s="262" t="e">
        <f>VLOOKUP($B16,ClassFeuilleResultat,7,FALSE)</f>
        <v>#N/A</v>
      </c>
      <c r="E16" s="262" t="e">
        <f>VLOOKUP($B16,ClassFeuilleResultat,5,FALSE)</f>
        <v>#N/A</v>
      </c>
      <c r="F16" s="263" t="e">
        <f>VLOOKUP($B16,ClassFeuilleResultat,8,FALSE)</f>
        <v>#N/A</v>
      </c>
      <c r="G16" s="262" t="e">
        <f>VLOOKUP($B16,ClassFeuilleResultat,9,FALSE)</f>
        <v>#N/A</v>
      </c>
      <c r="H16" s="262" t="e">
        <f>VLOOKUP($B16,ClassFeuilleResultat,10,FALSE)</f>
        <v>#N/A</v>
      </c>
      <c r="I16" s="264" t="e">
        <f>IF(H16=0,"",F16/G16)</f>
        <v>#N/A</v>
      </c>
      <c r="J16" s="265" t="e">
        <f>VLOOKUP($B16,ClassFeuilleResultat,12,FALSE)</f>
        <v>#N/A</v>
      </c>
      <c r="L16" s="350"/>
      <c r="M16" s="274" t="e">
        <f>Match!$D$26</f>
        <v>#N/A</v>
      </c>
      <c r="N16" s="275" t="str">
        <f>IF(Match!$F26="","",Match!$F26)</f>
        <v/>
      </c>
      <c r="O16" s="275" t="str">
        <f>IF(Match!$G26="","",Match!$G26)</f>
        <v/>
      </c>
      <c r="P16" s="275" t="str">
        <f>IF(Match!$H26="","",Match!$H26)</f>
        <v/>
      </c>
      <c r="Q16" s="276" t="str">
        <f t="shared" si="5"/>
        <v/>
      </c>
      <c r="R16" s="277" t="str">
        <f>IF(Match!$K26="","",Match!$K26)</f>
        <v/>
      </c>
      <c r="S16" s="100"/>
      <c r="T16" s="37"/>
      <c r="U16" s="37"/>
      <c r="W16" s="43"/>
      <c r="X16" s="43" t="e">
        <f>HLOOKUP(Tirage!$Q$5,ScenarioTableau,5,FALSE)</f>
        <v>#N/A</v>
      </c>
      <c r="Y16" s="43"/>
    </row>
    <row r="17" spans="1:27" ht="23.1" customHeight="1" thickBot="1" x14ac:dyDescent="0.3">
      <c r="B17" s="266" t="e">
        <f t="shared" si="3"/>
        <v>#N/A</v>
      </c>
      <c r="C17" s="267" t="e">
        <f>VLOOKUP(B17,ClassFeuilleResultat,6,FALSE)</f>
        <v>#N/A</v>
      </c>
      <c r="D17" s="267" t="e">
        <f>VLOOKUP($B17,ClassFeuilleResultat,7,FALSE)</f>
        <v>#N/A</v>
      </c>
      <c r="E17" s="267" t="e">
        <f>VLOOKUP($B17,ClassFeuilleResultat,5,FALSE)</f>
        <v>#N/A</v>
      </c>
      <c r="F17" s="268" t="e">
        <f>VLOOKUP($B17,ClassFeuilleResultat,8,FALSE)</f>
        <v>#N/A</v>
      </c>
      <c r="G17" s="267" t="e">
        <f>VLOOKUP($B17,ClassFeuilleResultat,9,FALSE)</f>
        <v>#N/A</v>
      </c>
      <c r="H17" s="267" t="e">
        <f>VLOOKUP($B17,ClassFeuilleResultat,10,FALSE)</f>
        <v>#N/A</v>
      </c>
      <c r="I17" s="269" t="e">
        <f>IF(C2+H17=0,"",F17/G17)</f>
        <v>#N/A</v>
      </c>
      <c r="J17" s="270" t="e">
        <f>VLOOKUP($B17,ClassFeuilleResultat,12,FALSE)</f>
        <v>#N/A</v>
      </c>
      <c r="L17" s="351"/>
      <c r="M17" s="274" t="e">
        <f>Match!$D$27</f>
        <v>#N/A</v>
      </c>
      <c r="N17" s="275" t="str">
        <f>IF(Match!$F27="","",Match!$F27)</f>
        <v/>
      </c>
      <c r="O17" s="275" t="str">
        <f>IF(Match!$G27="","",Match!$G27)</f>
        <v/>
      </c>
      <c r="P17" s="275" t="str">
        <f>IF(Match!$H27="","",Match!$H27)</f>
        <v/>
      </c>
      <c r="Q17" s="276" t="str">
        <f t="shared" si="5"/>
        <v/>
      </c>
      <c r="R17" s="277" t="str">
        <f>IF(Match!$K27="","",Match!$K27)</f>
        <v/>
      </c>
      <c r="S17" s="100"/>
      <c r="T17" s="37"/>
      <c r="U17" s="37"/>
      <c r="W17" s="43"/>
      <c r="X17" s="43" t="e">
        <f>HLOOKUP(Tirage!$Q$5,ScenarioTableau,6,FALSE)</f>
        <v>#N/A</v>
      </c>
      <c r="Y17" s="43"/>
    </row>
    <row r="18" spans="1:27" ht="23.1" customHeight="1" x14ac:dyDescent="0.25">
      <c r="B18" s="58"/>
      <c r="C18" s="58"/>
      <c r="D18" s="57" t="str">
        <f>IF(OR($G$61=0,$G$61=""),"",$D$75)</f>
        <v/>
      </c>
      <c r="E18" s="57"/>
      <c r="F18" s="244" t="str">
        <f>IF(OR($G$61=0,$G$61=""),"",$F$75)</f>
        <v/>
      </c>
      <c r="G18" s="58" t="str">
        <f>IF(OR($G$61=0,$G$61=""),"",$G$75)</f>
        <v/>
      </c>
      <c r="H18" s="58" t="str">
        <f>IF(OR($G$61=0,$G$61=""),"",#REF!)</f>
        <v/>
      </c>
      <c r="I18" s="59" t="str">
        <f>IF(OR($G$61=0,$G$61=""),"",$J$75)</f>
        <v/>
      </c>
      <c r="J18" s="59" t="str">
        <f>IF(OR($G$61=0,$G$61=""),"",$I$75)</f>
        <v/>
      </c>
      <c r="M18" s="278"/>
      <c r="N18" s="278"/>
      <c r="O18" s="278"/>
      <c r="P18" s="278"/>
      <c r="Q18" s="278"/>
      <c r="R18" s="278"/>
      <c r="S18" s="38"/>
      <c r="T18" s="38"/>
      <c r="U18" s="39"/>
      <c r="W18" s="43"/>
      <c r="X18" s="43"/>
      <c r="Y18" s="43"/>
    </row>
    <row r="19" spans="1:27" ht="23.1" customHeight="1" thickBot="1" x14ac:dyDescent="0.3">
      <c r="L19" s="271"/>
      <c r="M19" s="279"/>
      <c r="N19" s="280"/>
      <c r="O19" s="280"/>
      <c r="P19" s="280"/>
      <c r="Q19" s="281"/>
      <c r="R19" s="282"/>
      <c r="S19" s="37"/>
      <c r="T19" s="37"/>
      <c r="U19" s="37"/>
      <c r="V19" s="43"/>
      <c r="W19" s="43"/>
      <c r="X19" s="43"/>
      <c r="Y19" s="43"/>
    </row>
    <row r="20" spans="1:27" ht="23.1" customHeight="1" x14ac:dyDescent="0.25">
      <c r="B20" s="51" t="s">
        <v>225</v>
      </c>
      <c r="C20" s="52"/>
      <c r="D20" s="52"/>
      <c r="E20" s="52"/>
      <c r="F20" s="53"/>
      <c r="G20" s="52"/>
      <c r="H20" s="52"/>
      <c r="I20" s="52"/>
      <c r="J20" s="54"/>
      <c r="L20" s="271"/>
      <c r="M20" s="279"/>
      <c r="N20" s="280"/>
      <c r="O20" s="280"/>
      <c r="P20" s="280"/>
      <c r="Q20" s="281"/>
      <c r="R20" s="282"/>
      <c r="S20" s="37"/>
      <c r="T20" s="37"/>
      <c r="U20" s="37"/>
      <c r="V20" s="43"/>
      <c r="W20" s="43"/>
      <c r="X20" s="43"/>
      <c r="Y20" s="43"/>
    </row>
    <row r="21" spans="1:27" ht="23.1" customHeight="1" x14ac:dyDescent="0.25">
      <c r="B21" s="359"/>
      <c r="C21" s="360"/>
      <c r="D21" s="360"/>
      <c r="E21" s="360"/>
      <c r="F21" s="360"/>
      <c r="G21" s="360"/>
      <c r="H21" s="360"/>
      <c r="I21" s="360"/>
      <c r="J21" s="361"/>
      <c r="L21" s="271"/>
      <c r="M21" s="279"/>
      <c r="N21" s="280"/>
      <c r="O21" s="280"/>
      <c r="P21" s="280"/>
      <c r="Q21" s="281"/>
      <c r="R21" s="282"/>
      <c r="S21" s="37"/>
      <c r="T21" s="37"/>
      <c r="U21" s="37"/>
      <c r="V21" s="43"/>
      <c r="W21" s="43"/>
      <c r="X21" s="43"/>
      <c r="Z21" s="40">
        <f>Tirage!C6</f>
        <v>0</v>
      </c>
      <c r="AA21" s="40" t="str">
        <f>Tirage!B6</f>
        <v/>
      </c>
    </row>
    <row r="22" spans="1:27" ht="23.1" customHeight="1" x14ac:dyDescent="0.25">
      <c r="B22" s="353"/>
      <c r="C22" s="354"/>
      <c r="D22" s="354"/>
      <c r="E22" s="354"/>
      <c r="F22" s="354"/>
      <c r="G22" s="354"/>
      <c r="H22" s="354"/>
      <c r="I22" s="354"/>
      <c r="J22" s="355"/>
      <c r="L22" s="271"/>
      <c r="M22" s="279"/>
      <c r="N22" s="280"/>
      <c r="O22" s="280"/>
      <c r="P22" s="280"/>
      <c r="Q22" s="281"/>
      <c r="R22" s="282"/>
      <c r="S22" s="37"/>
      <c r="T22" s="37"/>
      <c r="U22" s="37"/>
      <c r="V22" s="43"/>
      <c r="W22" s="43"/>
      <c r="X22" s="43"/>
      <c r="Z22" s="40">
        <f>Tirage!C7</f>
        <v>0</v>
      </c>
      <c r="AA22" s="40" t="str">
        <f>Tirage!B7</f>
        <v/>
      </c>
    </row>
    <row r="23" spans="1:27" ht="23.1" customHeight="1" x14ac:dyDescent="0.25">
      <c r="B23" s="353"/>
      <c r="C23" s="354"/>
      <c r="D23" s="354"/>
      <c r="E23" s="354"/>
      <c r="F23" s="354"/>
      <c r="G23" s="354"/>
      <c r="H23" s="354"/>
      <c r="I23" s="354"/>
      <c r="J23" s="355"/>
      <c r="M23" s="245"/>
      <c r="N23" s="245"/>
      <c r="O23" s="245"/>
      <c r="P23" s="245"/>
      <c r="Q23" s="245"/>
      <c r="R23" s="245"/>
      <c r="S23" s="63"/>
      <c r="T23" s="63"/>
      <c r="U23" s="63"/>
      <c r="V23" s="43"/>
      <c r="W23" s="43"/>
      <c r="X23" s="43"/>
      <c r="Z23" s="40">
        <f>Tirage!C8</f>
        <v>0</v>
      </c>
      <c r="AA23" s="40" t="str">
        <f>Tirage!B8</f>
        <v/>
      </c>
    </row>
    <row r="24" spans="1:27" ht="23.1" customHeight="1" thickBot="1" x14ac:dyDescent="0.3">
      <c r="B24" s="356"/>
      <c r="C24" s="357"/>
      <c r="D24" s="357"/>
      <c r="E24" s="357"/>
      <c r="F24" s="357"/>
      <c r="G24" s="357"/>
      <c r="H24" s="357"/>
      <c r="I24" s="357"/>
      <c r="J24" s="358"/>
      <c r="L24" s="352"/>
      <c r="M24" s="279"/>
      <c r="N24" s="280"/>
      <c r="O24" s="282"/>
      <c r="P24" s="282"/>
      <c r="Q24" s="281"/>
      <c r="R24" s="282"/>
      <c r="S24" s="37"/>
      <c r="T24" s="37"/>
      <c r="U24" s="37"/>
      <c r="V24" s="43"/>
      <c r="W24" s="43"/>
      <c r="X24" s="43"/>
      <c r="Z24" s="40">
        <f>Tirage!C9</f>
        <v>0</v>
      </c>
      <c r="AA24" s="40" t="str">
        <f>Tirage!B9</f>
        <v/>
      </c>
    </row>
    <row r="25" spans="1:27" ht="23.1" customHeight="1" x14ac:dyDescent="0.25">
      <c r="L25" s="352"/>
      <c r="M25" s="279"/>
      <c r="N25" s="280"/>
      <c r="O25" s="282"/>
      <c r="P25" s="282"/>
      <c r="Q25" s="281"/>
      <c r="R25" s="282"/>
      <c r="S25" s="37"/>
      <c r="T25" s="37"/>
      <c r="U25" s="37"/>
      <c r="V25" s="43"/>
      <c r="W25" s="56"/>
      <c r="X25" s="43"/>
      <c r="Z25" s="40">
        <f>Tirage!C10</f>
        <v>0</v>
      </c>
      <c r="AA25" s="40" t="str">
        <f>Tirage!B10</f>
        <v/>
      </c>
    </row>
    <row r="26" spans="1:27" s="2" customFormat="1" ht="23.1" customHeight="1" x14ac:dyDescent="0.25">
      <c r="A26" s="327" t="s">
        <v>327</v>
      </c>
      <c r="B26" s="327"/>
      <c r="C26" s="327"/>
      <c r="D26" s="327"/>
      <c r="E26" s="327"/>
      <c r="F26" s="327"/>
      <c r="G26" s="327"/>
      <c r="H26" s="327"/>
      <c r="I26" s="327"/>
      <c r="J26" s="327"/>
      <c r="K26" s="5"/>
      <c r="L26" s="352"/>
      <c r="U26" s="134" t="str">
        <f t="shared" ref="U26:U28" si="6">V26&amp;X26</f>
        <v>bandeNATIONAL 2</v>
      </c>
      <c r="V26" s="135" t="s">
        <v>33</v>
      </c>
      <c r="W26" s="14">
        <v>18</v>
      </c>
      <c r="X26" s="134" t="s">
        <v>24</v>
      </c>
      <c r="Y26" s="135">
        <v>80</v>
      </c>
      <c r="Z26" s="135"/>
      <c r="AA26" s="135"/>
    </row>
    <row r="27" spans="1:27" s="2" customFormat="1" ht="23.1" customHeight="1" x14ac:dyDescent="0.25">
      <c r="A27" s="327"/>
      <c r="B27" s="327"/>
      <c r="C27" s="327"/>
      <c r="D27" s="327"/>
      <c r="E27" s="327"/>
      <c r="F27" s="327"/>
      <c r="G27" s="327"/>
      <c r="H27" s="327"/>
      <c r="I27" s="327"/>
      <c r="J27" s="327"/>
      <c r="K27" s="5"/>
      <c r="L27" s="352"/>
      <c r="U27" s="134" t="str">
        <f t="shared" si="6"/>
        <v>bandeNATIONAL 3</v>
      </c>
      <c r="V27" s="135" t="s">
        <v>33</v>
      </c>
      <c r="W27" s="14">
        <v>18</v>
      </c>
      <c r="X27" s="134" t="s">
        <v>25</v>
      </c>
      <c r="Y27" s="135">
        <v>60</v>
      </c>
      <c r="Z27" s="135">
        <v>60</v>
      </c>
      <c r="AA27" s="135">
        <v>40</v>
      </c>
    </row>
    <row r="28" spans="1:27" s="2" customFormat="1" ht="23.1" customHeight="1" x14ac:dyDescent="0.25">
      <c r="A28" s="326" t="s">
        <v>328</v>
      </c>
      <c r="B28" s="326"/>
      <c r="C28" s="326"/>
      <c r="D28" s="326"/>
      <c r="E28" s="326"/>
      <c r="F28" s="326"/>
      <c r="G28" s="326"/>
      <c r="H28" s="326"/>
      <c r="I28" s="326"/>
      <c r="J28" s="326"/>
      <c r="U28" s="134" t="str">
        <f t="shared" si="6"/>
        <v>bandeREGIONAL 1</v>
      </c>
      <c r="V28" s="135" t="s">
        <v>33</v>
      </c>
      <c r="W28" s="14">
        <v>19</v>
      </c>
      <c r="X28" s="134" t="s">
        <v>26</v>
      </c>
      <c r="Y28" s="135">
        <v>50</v>
      </c>
      <c r="Z28" s="135">
        <v>50</v>
      </c>
      <c r="AA28" s="135">
        <v>40</v>
      </c>
    </row>
    <row r="29" spans="1:27" s="2" customFormat="1" ht="23.1" customHeight="1" x14ac:dyDescent="0.25">
      <c r="A29" s="326"/>
      <c r="B29" s="326"/>
      <c r="C29" s="326"/>
      <c r="D29" s="326"/>
      <c r="E29" s="326"/>
      <c r="F29" s="326"/>
      <c r="G29" s="326"/>
      <c r="H29" s="326"/>
      <c r="I29" s="326"/>
      <c r="J29" s="326"/>
      <c r="L29" s="352"/>
      <c r="U29" s="134"/>
      <c r="V29" s="135"/>
      <c r="W29" s="14"/>
      <c r="X29" s="134"/>
      <c r="Y29" s="135"/>
      <c r="Z29" s="135"/>
      <c r="AA29" s="135"/>
    </row>
    <row r="30" spans="1:27" x14ac:dyDescent="0.25">
      <c r="A30" s="55"/>
      <c r="B30" s="60"/>
      <c r="C30" s="60"/>
      <c r="D30" s="60"/>
      <c r="E30" s="60"/>
      <c r="F30" s="64"/>
      <c r="G30" s="65"/>
      <c r="H30" s="65"/>
      <c r="I30" s="59"/>
      <c r="J30" s="65"/>
      <c r="K30" s="60"/>
      <c r="L30" s="352"/>
      <c r="M30" s="232"/>
      <c r="N30" s="233"/>
      <c r="O30" s="37"/>
      <c r="P30" s="37"/>
      <c r="Q30" s="234"/>
      <c r="R30" s="37"/>
      <c r="S30" s="37"/>
      <c r="T30" s="37"/>
      <c r="U30" s="37"/>
      <c r="V30" s="61"/>
      <c r="W30" s="62"/>
      <c r="X30" s="43"/>
      <c r="Y30" s="43"/>
    </row>
    <row r="31" spans="1:27" x14ac:dyDescent="0.25">
      <c r="A31" s="55"/>
      <c r="B31" s="65"/>
      <c r="C31" s="65"/>
      <c r="D31" s="65"/>
      <c r="E31" s="65"/>
      <c r="F31" s="67"/>
      <c r="G31" s="65"/>
      <c r="H31" s="65"/>
      <c r="I31" s="59"/>
      <c r="J31" s="65"/>
      <c r="K31" s="60"/>
      <c r="L31" s="352"/>
      <c r="M31" s="232"/>
      <c r="N31" s="233"/>
      <c r="O31" s="37"/>
      <c r="P31" s="37"/>
      <c r="Q31" s="234"/>
      <c r="R31" s="37"/>
      <c r="S31" s="37"/>
      <c r="T31" s="37"/>
      <c r="U31" s="37"/>
      <c r="V31" s="63"/>
      <c r="W31" s="43"/>
      <c r="X31" s="43"/>
      <c r="Y31" s="43"/>
    </row>
    <row r="32" spans="1:27" s="60" customFormat="1" x14ac:dyDescent="0.25">
      <c r="B32" s="65"/>
      <c r="C32" s="65"/>
      <c r="D32" s="65"/>
      <c r="E32" s="65"/>
      <c r="F32" s="67"/>
      <c r="G32" s="65"/>
      <c r="H32" s="65"/>
      <c r="I32" s="59"/>
      <c r="J32" s="65"/>
      <c r="L32" s="352"/>
      <c r="M32" s="235"/>
      <c r="N32" s="236"/>
      <c r="O32" s="102"/>
      <c r="P32" s="102"/>
      <c r="Q32" s="237"/>
      <c r="R32" s="102"/>
      <c r="S32" s="102"/>
      <c r="T32" s="102"/>
      <c r="U32" s="102"/>
      <c r="V32" s="66"/>
      <c r="W32" s="66"/>
      <c r="X32" s="66"/>
      <c r="Y32" s="66"/>
    </row>
    <row r="33" spans="6:25" s="60" customFormat="1" x14ac:dyDescent="0.25">
      <c r="F33" s="64"/>
      <c r="G33" s="65"/>
      <c r="H33" s="65"/>
      <c r="I33" s="59"/>
      <c r="J33" s="65"/>
      <c r="M33" s="238"/>
      <c r="N33" s="68"/>
      <c r="O33" s="67"/>
      <c r="P33" s="65"/>
      <c r="Q33" s="239"/>
      <c r="R33" s="65"/>
      <c r="V33" s="66"/>
      <c r="W33" s="66"/>
      <c r="X33" s="66"/>
      <c r="Y33" s="66"/>
    </row>
    <row r="34" spans="6:25" s="60" customFormat="1" x14ac:dyDescent="0.25">
      <c r="F34" s="64"/>
      <c r="G34" s="65"/>
      <c r="H34" s="65"/>
      <c r="I34" s="59"/>
      <c r="J34" s="65"/>
      <c r="K34" s="65"/>
      <c r="M34" s="345"/>
      <c r="N34" s="345"/>
      <c r="O34" s="345"/>
      <c r="P34" s="345"/>
      <c r="Q34" s="345"/>
      <c r="R34" s="345"/>
      <c r="S34" s="65"/>
      <c r="T34" s="65"/>
      <c r="U34" s="65"/>
      <c r="V34" s="66"/>
      <c r="W34" s="66"/>
      <c r="X34" s="66"/>
      <c r="Y34" s="66"/>
    </row>
    <row r="35" spans="6:25" s="60" customFormat="1" x14ac:dyDescent="0.25">
      <c r="F35" s="64"/>
      <c r="G35" s="65"/>
      <c r="H35" s="65"/>
      <c r="I35" s="65"/>
      <c r="J35" s="65"/>
      <c r="K35" s="65"/>
      <c r="M35" s="240"/>
      <c r="N35" s="241"/>
      <c r="O35" s="242"/>
      <c r="P35" s="242"/>
      <c r="Q35" s="243"/>
      <c r="R35" s="242"/>
      <c r="S35" s="102"/>
      <c r="T35" s="102"/>
      <c r="U35" s="102"/>
    </row>
    <row r="36" spans="6:25" s="60" customFormat="1" x14ac:dyDescent="0.25">
      <c r="F36" s="64"/>
      <c r="M36" s="240"/>
      <c r="N36" s="241"/>
      <c r="O36" s="242"/>
      <c r="P36" s="242"/>
      <c r="Q36" s="243"/>
      <c r="R36" s="242"/>
      <c r="S36" s="102"/>
      <c r="T36" s="102"/>
      <c r="U36" s="102"/>
    </row>
    <row r="37" spans="6:25" s="60" customFormat="1" ht="15.75" customHeight="1" x14ac:dyDescent="0.25">
      <c r="F37" s="64"/>
      <c r="M37" s="345"/>
      <c r="N37" s="345"/>
      <c r="O37" s="345"/>
      <c r="P37" s="345"/>
      <c r="Q37" s="345"/>
      <c r="R37" s="345"/>
      <c r="S37" s="65"/>
      <c r="T37" s="65"/>
      <c r="U37" s="65"/>
    </row>
    <row r="38" spans="6:25" s="60" customFormat="1" x14ac:dyDescent="0.25">
      <c r="F38" s="64"/>
      <c r="M38" s="235"/>
      <c r="N38" s="236"/>
      <c r="O38" s="102"/>
      <c r="P38" s="102"/>
      <c r="Q38" s="237"/>
      <c r="R38" s="102"/>
      <c r="S38" s="102"/>
      <c r="T38" s="102"/>
      <c r="U38" s="102"/>
    </row>
    <row r="39" spans="6:25" s="60" customFormat="1" x14ac:dyDescent="0.25">
      <c r="F39" s="64"/>
      <c r="M39" s="235"/>
      <c r="N39" s="236"/>
      <c r="O39" s="102"/>
      <c r="P39" s="102"/>
      <c r="Q39" s="237"/>
      <c r="R39" s="102"/>
      <c r="S39" s="102"/>
      <c r="T39" s="102"/>
      <c r="U39" s="102"/>
    </row>
    <row r="40" spans="6:25" s="60" customFormat="1" x14ac:dyDescent="0.25">
      <c r="F40" s="64"/>
      <c r="M40" s="345"/>
      <c r="N40" s="345"/>
      <c r="O40" s="345"/>
      <c r="P40" s="345"/>
      <c r="Q40" s="345"/>
      <c r="R40" s="345"/>
      <c r="S40" s="65"/>
      <c r="T40" s="65"/>
      <c r="U40" s="65"/>
    </row>
    <row r="41" spans="6:25" s="60" customFormat="1" x14ac:dyDescent="0.25">
      <c r="F41" s="64"/>
      <c r="M41" s="235"/>
      <c r="N41" s="236"/>
      <c r="O41" s="102"/>
      <c r="P41" s="102"/>
      <c r="Q41" s="237"/>
      <c r="R41" s="102"/>
      <c r="S41" s="102"/>
      <c r="T41" s="102"/>
      <c r="U41" s="102"/>
    </row>
    <row r="42" spans="6:25" s="60" customFormat="1" x14ac:dyDescent="0.25">
      <c r="F42" s="64"/>
      <c r="M42" s="235"/>
      <c r="N42" s="236"/>
      <c r="O42" s="102"/>
      <c r="P42" s="102"/>
      <c r="Q42" s="237"/>
      <c r="R42" s="102"/>
      <c r="S42" s="102"/>
      <c r="T42" s="102"/>
      <c r="U42" s="102"/>
    </row>
    <row r="43" spans="6:25" s="60" customFormat="1" x14ac:dyDescent="0.25">
      <c r="F43" s="64"/>
      <c r="M43" s="122"/>
      <c r="O43" s="64"/>
      <c r="Q43" s="119"/>
    </row>
    <row r="44" spans="6:25" s="60" customFormat="1" x14ac:dyDescent="0.25">
      <c r="F44" s="64"/>
      <c r="M44" s="122"/>
      <c r="O44" s="64"/>
      <c r="Q44" s="119"/>
    </row>
    <row r="45" spans="6:25" s="60" customFormat="1" x14ac:dyDescent="0.25">
      <c r="F45" s="64"/>
      <c r="M45" s="122"/>
      <c r="O45" s="64"/>
      <c r="Q45" s="119"/>
    </row>
    <row r="46" spans="6:25" s="60" customFormat="1" x14ac:dyDescent="0.25">
      <c r="F46" s="64"/>
      <c r="M46" s="122"/>
      <c r="O46" s="64"/>
      <c r="Q46" s="119"/>
    </row>
    <row r="47" spans="6:25" s="60" customFormat="1" x14ac:dyDescent="0.25">
      <c r="F47" s="64"/>
      <c r="M47" s="122"/>
      <c r="O47" s="64"/>
      <c r="Q47" s="119"/>
    </row>
    <row r="48" spans="6:25" s="60" customFormat="1" x14ac:dyDescent="0.25">
      <c r="F48" s="64"/>
      <c r="M48" s="122"/>
      <c r="O48" s="64"/>
      <c r="Q48" s="119"/>
    </row>
    <row r="49" spans="2:17" s="60" customFormat="1" x14ac:dyDescent="0.25">
      <c r="F49" s="64"/>
      <c r="M49" s="122"/>
      <c r="O49" s="64"/>
      <c r="Q49" s="119"/>
    </row>
    <row r="50" spans="2:17" s="60" customFormat="1" x14ac:dyDescent="0.25">
      <c r="F50" s="64"/>
      <c r="M50" s="122"/>
      <c r="O50" s="64"/>
      <c r="Q50" s="119"/>
    </row>
    <row r="51" spans="2:17" s="60" customFormat="1" x14ac:dyDescent="0.25">
      <c r="F51" s="64"/>
      <c r="M51" s="122"/>
      <c r="O51" s="64"/>
      <c r="Q51" s="119"/>
    </row>
    <row r="52" spans="2:17" s="60" customFormat="1" x14ac:dyDescent="0.25">
      <c r="F52" s="64"/>
      <c r="M52" s="122"/>
      <c r="O52" s="64"/>
      <c r="Q52" s="119"/>
    </row>
    <row r="53" spans="2:17" s="60" customFormat="1" x14ac:dyDescent="0.25">
      <c r="F53" s="64"/>
      <c r="M53" s="122"/>
      <c r="O53" s="64"/>
      <c r="Q53" s="119"/>
    </row>
    <row r="54" spans="2:17" s="60" customFormat="1" x14ac:dyDescent="0.25">
      <c r="F54" s="64"/>
      <c r="M54" s="122"/>
      <c r="O54" s="64"/>
      <c r="Q54" s="119"/>
    </row>
    <row r="55" spans="2:17" s="60" customFormat="1" x14ac:dyDescent="0.25">
      <c r="F55" s="64"/>
      <c r="M55" s="122"/>
      <c r="O55" s="64"/>
      <c r="Q55" s="119"/>
    </row>
    <row r="56" spans="2:17" s="60" customFormat="1" x14ac:dyDescent="0.25">
      <c r="B56" s="65"/>
      <c r="C56" s="65"/>
      <c r="D56" s="65"/>
      <c r="E56" s="65"/>
      <c r="F56" s="67"/>
      <c r="G56" s="65"/>
      <c r="H56" s="65"/>
      <c r="I56" s="65"/>
      <c r="J56" s="65"/>
      <c r="M56" s="122"/>
      <c r="O56" s="64"/>
      <c r="Q56" s="119"/>
    </row>
    <row r="57" spans="2:17" s="60" customFormat="1" x14ac:dyDescent="0.25">
      <c r="B57" s="65"/>
      <c r="C57" s="65"/>
      <c r="D57" s="65"/>
      <c r="E57" s="65"/>
      <c r="F57" s="67"/>
      <c r="G57" s="65"/>
      <c r="H57" s="65"/>
      <c r="I57" s="65"/>
      <c r="J57" s="65"/>
      <c r="M57" s="122"/>
      <c r="O57" s="64"/>
      <c r="Q57" s="119"/>
    </row>
    <row r="58" spans="2:17" s="60" customFormat="1" x14ac:dyDescent="0.25">
      <c r="B58" s="65"/>
      <c r="C58" s="65"/>
      <c r="D58" s="65"/>
      <c r="E58" s="65"/>
      <c r="F58" s="67"/>
      <c r="G58" s="65"/>
      <c r="H58" s="65"/>
      <c r="I58" s="65"/>
      <c r="J58" s="65"/>
      <c r="M58" s="122"/>
      <c r="O58" s="64"/>
      <c r="Q58" s="119"/>
    </row>
    <row r="59" spans="2:17" s="60" customFormat="1" x14ac:dyDescent="0.25">
      <c r="B59" s="65"/>
      <c r="C59" s="65"/>
      <c r="D59" s="65"/>
      <c r="E59" s="65"/>
      <c r="F59" s="67"/>
      <c r="G59" s="65"/>
      <c r="H59" s="65"/>
      <c r="I59" s="65"/>
      <c r="J59" s="65"/>
      <c r="K59" s="65"/>
      <c r="M59" s="122"/>
      <c r="O59" s="64"/>
      <c r="Q59" s="119"/>
    </row>
    <row r="60" spans="2:17" s="60" customFormat="1" x14ac:dyDescent="0.25">
      <c r="B60" s="65"/>
      <c r="C60" s="65"/>
      <c r="D60" s="65"/>
      <c r="E60" s="65"/>
      <c r="F60" s="67"/>
      <c r="G60" s="65"/>
      <c r="H60" s="65"/>
      <c r="I60" s="65"/>
      <c r="J60" s="65"/>
      <c r="K60" s="65"/>
      <c r="M60" s="122"/>
      <c r="O60" s="64"/>
      <c r="Q60" s="119"/>
    </row>
    <row r="61" spans="2:17" s="60" customFormat="1" x14ac:dyDescent="0.25">
      <c r="B61" s="65"/>
      <c r="C61" s="65"/>
      <c r="D61" s="65"/>
      <c r="E61" s="65"/>
      <c r="F61" s="67"/>
      <c r="G61" s="65"/>
      <c r="H61" s="65"/>
      <c r="I61" s="65"/>
      <c r="J61" s="65"/>
      <c r="K61" s="65"/>
      <c r="M61" s="122"/>
      <c r="O61" s="64"/>
      <c r="Q61" s="119"/>
    </row>
    <row r="62" spans="2:17" s="60" customFormat="1" x14ac:dyDescent="0.25">
      <c r="B62" s="68"/>
      <c r="C62" s="68"/>
      <c r="D62" s="65"/>
      <c r="E62" s="65"/>
      <c r="F62" s="67"/>
      <c r="G62" s="65"/>
      <c r="H62" s="65"/>
      <c r="I62" s="65"/>
      <c r="J62" s="65"/>
      <c r="K62" s="65"/>
      <c r="M62" s="122"/>
      <c r="O62" s="64"/>
      <c r="Q62" s="119"/>
    </row>
    <row r="63" spans="2:17" s="60" customFormat="1" x14ac:dyDescent="0.25">
      <c r="B63" s="65"/>
      <c r="C63" s="65"/>
      <c r="D63" s="65"/>
      <c r="E63" s="65"/>
      <c r="F63" s="67"/>
      <c r="G63" s="65"/>
      <c r="H63" s="65"/>
      <c r="I63" s="65"/>
      <c r="J63" s="65"/>
      <c r="K63" s="65"/>
      <c r="M63" s="122"/>
      <c r="O63" s="64"/>
      <c r="Q63" s="119"/>
    </row>
    <row r="64" spans="2:17" s="60" customFormat="1" x14ac:dyDescent="0.25">
      <c r="B64" s="65"/>
      <c r="C64" s="65"/>
      <c r="D64" s="65"/>
      <c r="E64" s="65"/>
      <c r="F64" s="67"/>
      <c r="G64" s="65"/>
      <c r="H64" s="65"/>
      <c r="I64" s="65"/>
      <c r="J64" s="65"/>
      <c r="K64" s="65"/>
      <c r="M64" s="122"/>
      <c r="O64" s="64"/>
      <c r="Q64" s="119"/>
    </row>
    <row r="65" spans="2:21" s="60" customFormat="1" x14ac:dyDescent="0.25">
      <c r="B65" s="65"/>
      <c r="C65" s="65"/>
      <c r="D65" s="65"/>
      <c r="E65" s="65"/>
      <c r="F65" s="67"/>
      <c r="G65" s="65"/>
      <c r="H65" s="65"/>
      <c r="I65" s="65"/>
      <c r="J65" s="65"/>
      <c r="K65" s="65"/>
      <c r="M65" s="122"/>
      <c r="O65" s="64"/>
      <c r="Q65" s="119"/>
    </row>
    <row r="66" spans="2:21" s="60" customFormat="1" x14ac:dyDescent="0.25">
      <c r="B66" s="245"/>
      <c r="C66" s="245"/>
      <c r="D66" s="245"/>
      <c r="E66" s="245"/>
      <c r="F66" s="246"/>
      <c r="G66" s="245"/>
      <c r="H66" s="245"/>
      <c r="I66" s="245"/>
      <c r="J66" s="245"/>
      <c r="K66" s="245"/>
      <c r="L66" s="55"/>
      <c r="M66" s="247"/>
      <c r="O66" s="64"/>
      <c r="Q66" s="119"/>
    </row>
    <row r="67" spans="2:21" s="60" customFormat="1" x14ac:dyDescent="0.25">
      <c r="B67" s="245"/>
      <c r="C67" s="245"/>
      <c r="D67" s="245"/>
      <c r="E67" s="245"/>
      <c r="F67" s="246"/>
      <c r="G67" s="245"/>
      <c r="H67" s="245"/>
      <c r="I67" s="245"/>
      <c r="J67" s="245"/>
      <c r="K67" s="245"/>
      <c r="L67" s="55"/>
      <c r="M67" s="247"/>
      <c r="O67" s="64"/>
      <c r="Q67" s="119"/>
    </row>
    <row r="68" spans="2:21" s="60" customFormat="1" x14ac:dyDescent="0.25">
      <c r="B68" s="55"/>
      <c r="C68" s="55"/>
      <c r="D68" s="55"/>
      <c r="E68" s="55"/>
      <c r="F68" s="248"/>
      <c r="G68" s="55"/>
      <c r="H68" s="55"/>
      <c r="I68" s="55"/>
      <c r="J68" s="55"/>
      <c r="K68" s="245"/>
      <c r="L68" s="55"/>
      <c r="M68" s="247"/>
      <c r="O68" s="64"/>
      <c r="Q68" s="119"/>
    </row>
    <row r="69" spans="2:21" s="60" customFormat="1" x14ac:dyDescent="0.25">
      <c r="B69" s="55"/>
      <c r="C69" s="55"/>
      <c r="D69" s="55"/>
      <c r="E69" s="55"/>
      <c r="F69" s="248"/>
      <c r="G69" s="55"/>
      <c r="H69" s="55"/>
      <c r="I69" s="55"/>
      <c r="J69" s="55"/>
      <c r="K69" s="245"/>
      <c r="L69" s="55"/>
      <c r="M69" s="247"/>
      <c r="N69" s="40"/>
      <c r="O69" s="42"/>
      <c r="P69" s="40"/>
      <c r="Q69" s="120"/>
      <c r="R69" s="40"/>
      <c r="S69" s="40"/>
      <c r="T69" s="40"/>
      <c r="U69" s="40"/>
    </row>
    <row r="70" spans="2:21" s="60" customFormat="1" x14ac:dyDescent="0.25">
      <c r="B70" s="249"/>
      <c r="C70" s="249"/>
      <c r="D70" s="249"/>
      <c r="E70" s="249"/>
      <c r="F70" s="250"/>
      <c r="G70" s="249"/>
      <c r="H70" s="249"/>
      <c r="I70" s="249"/>
      <c r="J70" s="249"/>
      <c r="K70" s="245"/>
      <c r="L70" s="55"/>
      <c r="M70" s="247"/>
      <c r="N70" s="40"/>
      <c r="O70" s="42"/>
      <c r="P70" s="40"/>
      <c r="Q70" s="120"/>
      <c r="R70" s="40"/>
      <c r="S70" s="40"/>
      <c r="T70" s="40"/>
      <c r="U70" s="40"/>
    </row>
    <row r="71" spans="2:21" x14ac:dyDescent="0.25">
      <c r="B71" s="249"/>
      <c r="C71" s="249"/>
      <c r="D71" s="249"/>
      <c r="E71" s="249"/>
      <c r="F71" s="250"/>
      <c r="G71" s="249"/>
      <c r="H71" s="249"/>
      <c r="I71" s="249"/>
      <c r="J71" s="249"/>
      <c r="K71" s="55"/>
      <c r="L71" s="55"/>
      <c r="M71" s="247"/>
    </row>
    <row r="72" spans="2:21" x14ac:dyDescent="0.25">
      <c r="B72" s="249"/>
      <c r="C72" s="249"/>
      <c r="D72" s="249"/>
      <c r="E72" s="249"/>
      <c r="F72" s="250"/>
      <c r="G72" s="249"/>
      <c r="H72" s="249"/>
      <c r="I72" s="249"/>
      <c r="J72" s="249"/>
      <c r="K72" s="55"/>
      <c r="L72" s="55"/>
      <c r="M72" s="247"/>
    </row>
    <row r="73" spans="2:21" x14ac:dyDescent="0.25">
      <c r="B73" s="251"/>
      <c r="C73" s="251"/>
      <c r="D73" s="249"/>
      <c r="E73" s="249"/>
      <c r="F73" s="250"/>
      <c r="G73" s="249"/>
      <c r="H73" s="249"/>
      <c r="I73" s="249"/>
      <c r="J73" s="249"/>
      <c r="K73" s="55"/>
      <c r="L73" s="55"/>
      <c r="M73" s="247"/>
    </row>
    <row r="74" spans="2:21" x14ac:dyDescent="0.25">
      <c r="B74" s="251"/>
      <c r="C74" s="251"/>
      <c r="D74" s="249"/>
      <c r="E74" s="249"/>
      <c r="F74" s="250"/>
      <c r="G74" s="249"/>
      <c r="H74" s="249"/>
      <c r="I74" s="249"/>
      <c r="J74" s="249"/>
      <c r="K74" s="55"/>
      <c r="L74" s="55"/>
      <c r="M74" s="247"/>
    </row>
    <row r="75" spans="2:21" x14ac:dyDescent="0.25">
      <c r="B75" s="251"/>
      <c r="C75" s="251"/>
      <c r="D75" s="249"/>
      <c r="E75" s="249"/>
      <c r="F75" s="250"/>
      <c r="G75" s="249"/>
      <c r="H75" s="249"/>
      <c r="I75" s="249"/>
      <c r="J75" s="249"/>
      <c r="K75" s="55"/>
      <c r="L75" s="55"/>
      <c r="M75" s="247"/>
    </row>
    <row r="76" spans="2:21" x14ac:dyDescent="0.25">
      <c r="B76" s="251"/>
      <c r="C76" s="251"/>
      <c r="D76" s="249"/>
      <c r="E76" s="249"/>
      <c r="F76" s="250"/>
      <c r="G76" s="249"/>
      <c r="H76" s="249"/>
      <c r="I76" s="249"/>
      <c r="J76" s="249"/>
      <c r="K76" s="55"/>
      <c r="L76" s="55"/>
      <c r="M76" s="247"/>
    </row>
    <row r="77" spans="2:21" x14ac:dyDescent="0.25">
      <c r="B77" s="251"/>
      <c r="C77" s="251"/>
      <c r="D77" s="249"/>
      <c r="E77" s="249"/>
      <c r="F77" s="250"/>
      <c r="G77" s="249"/>
      <c r="H77" s="249"/>
      <c r="I77" s="249"/>
      <c r="J77" s="249"/>
      <c r="K77" s="55"/>
      <c r="L77" s="55"/>
      <c r="M77" s="247"/>
    </row>
    <row r="78" spans="2:21" x14ac:dyDescent="0.25">
      <c r="B78" s="55"/>
      <c r="C78" s="55"/>
      <c r="D78" s="55"/>
      <c r="E78" s="55"/>
      <c r="F78" s="248"/>
      <c r="G78" s="55"/>
      <c r="H78" s="55"/>
      <c r="I78" s="55"/>
      <c r="J78" s="55"/>
      <c r="K78" s="55"/>
      <c r="L78" s="55"/>
      <c r="M78" s="247"/>
    </row>
    <row r="79" spans="2:21" x14ac:dyDescent="0.25">
      <c r="B79" s="55"/>
      <c r="C79" s="55"/>
      <c r="D79" s="55"/>
      <c r="E79" s="55"/>
      <c r="F79" s="248"/>
      <c r="G79" s="55"/>
      <c r="H79" s="55"/>
      <c r="I79" s="55"/>
      <c r="J79" s="55"/>
      <c r="K79" s="55"/>
      <c r="L79" s="55"/>
      <c r="M79" s="247"/>
    </row>
    <row r="80" spans="2:21" x14ac:dyDescent="0.25">
      <c r="B80" s="55"/>
      <c r="C80" s="55"/>
      <c r="D80" s="55"/>
      <c r="E80" s="55"/>
      <c r="F80" s="248"/>
      <c r="G80" s="55"/>
      <c r="H80" s="55"/>
      <c r="I80" s="55"/>
      <c r="J80" s="55"/>
      <c r="K80" s="55"/>
      <c r="L80" s="55"/>
      <c r="M80" s="247"/>
    </row>
    <row r="81" spans="2:13" x14ac:dyDescent="0.25">
      <c r="B81" s="55"/>
      <c r="C81" s="55"/>
      <c r="D81" s="55"/>
      <c r="E81" s="55"/>
      <c r="F81" s="248"/>
      <c r="G81" s="55"/>
      <c r="H81" s="55"/>
      <c r="I81" s="55"/>
      <c r="J81" s="55"/>
      <c r="K81" s="55"/>
      <c r="L81" s="55"/>
      <c r="M81" s="247"/>
    </row>
    <row r="82" spans="2:13" x14ac:dyDescent="0.25">
      <c r="B82" s="55"/>
      <c r="C82" s="55"/>
      <c r="D82" s="55"/>
      <c r="E82" s="55"/>
      <c r="F82" s="248"/>
      <c r="G82" s="55"/>
      <c r="H82" s="55"/>
      <c r="I82" s="55"/>
      <c r="J82" s="55"/>
      <c r="K82" s="55"/>
      <c r="L82" s="55"/>
      <c r="M82" s="247"/>
    </row>
    <row r="83" spans="2:13" x14ac:dyDescent="0.25">
      <c r="B83" s="55"/>
      <c r="C83" s="55"/>
      <c r="D83" s="55"/>
      <c r="E83" s="55"/>
      <c r="F83" s="248"/>
      <c r="G83" s="55"/>
      <c r="H83" s="55"/>
      <c r="I83" s="55"/>
      <c r="J83" s="55"/>
      <c r="K83" s="55"/>
      <c r="L83" s="55"/>
      <c r="M83" s="247"/>
    </row>
    <row r="84" spans="2:13" x14ac:dyDescent="0.25">
      <c r="B84" s="55"/>
      <c r="C84" s="55"/>
      <c r="D84" s="55"/>
      <c r="E84" s="55"/>
      <c r="F84" s="248"/>
      <c r="G84" s="55"/>
      <c r="H84" s="55"/>
      <c r="I84" s="55"/>
      <c r="J84" s="55"/>
      <c r="K84" s="55"/>
      <c r="L84" s="55"/>
      <c r="M84" s="247"/>
    </row>
    <row r="85" spans="2:13" x14ac:dyDescent="0.25">
      <c r="B85" s="55"/>
      <c r="C85" s="55"/>
      <c r="D85" s="55"/>
      <c r="E85" s="55"/>
      <c r="F85" s="248"/>
      <c r="G85" s="55"/>
      <c r="H85" s="55"/>
      <c r="I85" s="55"/>
      <c r="J85" s="55"/>
      <c r="K85" s="55"/>
      <c r="L85" s="55"/>
      <c r="M85" s="247"/>
    </row>
    <row r="86" spans="2:13" x14ac:dyDescent="0.25">
      <c r="B86" s="55"/>
      <c r="C86" s="55"/>
      <c r="D86" s="55"/>
      <c r="E86" s="55"/>
      <c r="F86" s="248"/>
      <c r="G86" s="55"/>
      <c r="H86" s="55"/>
      <c r="I86" s="55"/>
      <c r="J86" s="55"/>
      <c r="K86" s="55"/>
      <c r="L86" s="55"/>
      <c r="M86" s="247"/>
    </row>
    <row r="87" spans="2:13" x14ac:dyDescent="0.25">
      <c r="B87" s="55"/>
      <c r="C87" s="55"/>
      <c r="D87" s="55"/>
      <c r="E87" s="55"/>
      <c r="F87" s="248"/>
      <c r="G87" s="55"/>
      <c r="H87" s="55"/>
      <c r="I87" s="55"/>
      <c r="J87" s="55"/>
      <c r="K87" s="55"/>
      <c r="L87" s="55"/>
      <c r="M87" s="247"/>
    </row>
    <row r="88" spans="2:13" x14ac:dyDescent="0.25">
      <c r="B88" s="55"/>
      <c r="C88" s="55"/>
      <c r="D88" s="55"/>
      <c r="E88" s="55"/>
      <c r="F88" s="248"/>
      <c r="G88" s="55"/>
      <c r="H88" s="55"/>
      <c r="I88" s="55"/>
      <c r="J88" s="55"/>
      <c r="K88" s="55"/>
      <c r="L88" s="55"/>
      <c r="M88" s="247"/>
    </row>
    <row r="89" spans="2:13" x14ac:dyDescent="0.25">
      <c r="B89" s="55"/>
      <c r="C89" s="55"/>
      <c r="D89" s="55"/>
      <c r="E89" s="55"/>
      <c r="F89" s="248"/>
      <c r="G89" s="55"/>
      <c r="H89" s="55"/>
      <c r="I89" s="55"/>
      <c r="J89" s="55"/>
      <c r="K89" s="55"/>
      <c r="L89" s="55"/>
      <c r="M89" s="247"/>
    </row>
    <row r="90" spans="2:13" x14ac:dyDescent="0.25">
      <c r="B90" s="55"/>
      <c r="C90" s="55"/>
      <c r="D90" s="55"/>
      <c r="E90" s="55"/>
      <c r="F90" s="248"/>
      <c r="G90" s="55"/>
      <c r="H90" s="55"/>
      <c r="I90" s="55"/>
      <c r="J90" s="55"/>
      <c r="K90" s="55"/>
      <c r="L90" s="55"/>
      <c r="M90" s="247"/>
    </row>
    <row r="91" spans="2:13" x14ac:dyDescent="0.25">
      <c r="B91" s="55"/>
      <c r="C91" s="55"/>
      <c r="D91" s="55"/>
      <c r="E91" s="55"/>
      <c r="F91" s="248"/>
      <c r="G91" s="55"/>
      <c r="H91" s="55"/>
      <c r="I91" s="55"/>
      <c r="J91" s="55"/>
      <c r="K91" s="55"/>
      <c r="L91" s="55"/>
      <c r="M91" s="247"/>
    </row>
    <row r="92" spans="2:13" x14ac:dyDescent="0.25">
      <c r="B92" s="55"/>
      <c r="C92" s="55"/>
      <c r="D92" s="55"/>
      <c r="E92" s="55"/>
      <c r="F92" s="248"/>
      <c r="G92" s="55"/>
      <c r="H92" s="55"/>
      <c r="I92" s="55"/>
      <c r="J92" s="55"/>
      <c r="K92" s="55"/>
      <c r="L92" s="55"/>
      <c r="M92" s="247"/>
    </row>
    <row r="93" spans="2:13" x14ac:dyDescent="0.25">
      <c r="B93" s="55"/>
      <c r="C93" s="55"/>
      <c r="D93" s="55"/>
      <c r="E93" s="55"/>
      <c r="F93" s="248"/>
      <c r="G93" s="55"/>
      <c r="H93" s="55"/>
      <c r="I93" s="55"/>
      <c r="J93" s="55"/>
      <c r="K93" s="55"/>
      <c r="L93" s="55"/>
      <c r="M93" s="247"/>
    </row>
    <row r="94" spans="2:13" x14ac:dyDescent="0.25">
      <c r="B94" s="55"/>
      <c r="C94" s="55"/>
      <c r="D94" s="55"/>
      <c r="E94" s="55"/>
      <c r="F94" s="248"/>
      <c r="G94" s="55"/>
      <c r="H94" s="55"/>
      <c r="I94" s="55"/>
      <c r="J94" s="55"/>
      <c r="K94" s="55"/>
      <c r="L94" s="55"/>
      <c r="M94" s="247"/>
    </row>
    <row r="95" spans="2:13" x14ac:dyDescent="0.25">
      <c r="B95" s="55"/>
      <c r="C95" s="55"/>
      <c r="D95" s="55"/>
      <c r="E95" s="55"/>
      <c r="F95" s="248"/>
      <c r="G95" s="55"/>
      <c r="H95" s="55"/>
      <c r="I95" s="55"/>
      <c r="J95" s="55"/>
      <c r="K95" s="55"/>
      <c r="L95" s="55"/>
      <c r="M95" s="247"/>
    </row>
    <row r="96" spans="2:13" x14ac:dyDescent="0.25">
      <c r="B96" s="55"/>
      <c r="C96" s="55"/>
      <c r="D96" s="55"/>
      <c r="E96" s="55"/>
      <c r="F96" s="248"/>
      <c r="G96" s="55"/>
      <c r="H96" s="55"/>
      <c r="I96" s="55"/>
      <c r="J96" s="55"/>
      <c r="K96" s="55"/>
      <c r="L96" s="55"/>
      <c r="M96" s="247"/>
    </row>
    <row r="97" spans="2:13" x14ac:dyDescent="0.25">
      <c r="B97" s="55"/>
      <c r="C97" s="55"/>
      <c r="D97" s="55"/>
      <c r="E97" s="55"/>
      <c r="F97" s="248"/>
      <c r="G97" s="55"/>
      <c r="H97" s="55"/>
      <c r="I97" s="55"/>
      <c r="J97" s="55"/>
      <c r="K97" s="55"/>
      <c r="L97" s="55"/>
      <c r="M97" s="247"/>
    </row>
    <row r="98" spans="2:13" x14ac:dyDescent="0.25">
      <c r="B98" s="55"/>
      <c r="C98" s="55"/>
      <c r="D98" s="55"/>
      <c r="E98" s="55"/>
      <c r="F98" s="248"/>
      <c r="G98" s="55"/>
      <c r="H98" s="55"/>
      <c r="I98" s="55"/>
      <c r="J98" s="55"/>
      <c r="K98" s="55"/>
      <c r="L98" s="55"/>
      <c r="M98" s="247"/>
    </row>
    <row r="99" spans="2:13" x14ac:dyDescent="0.25">
      <c r="B99" s="55"/>
      <c r="C99" s="55"/>
      <c r="D99" s="55"/>
      <c r="E99" s="55"/>
      <c r="F99" s="248"/>
      <c r="G99" s="55"/>
      <c r="H99" s="55"/>
      <c r="I99" s="55"/>
      <c r="J99" s="55"/>
      <c r="K99" s="55"/>
      <c r="L99" s="55"/>
      <c r="M99" s="247"/>
    </row>
    <row r="100" spans="2:13" x14ac:dyDescent="0.25">
      <c r="B100" s="55"/>
      <c r="C100" s="55"/>
      <c r="D100" s="55"/>
      <c r="E100" s="55"/>
      <c r="F100" s="248"/>
      <c r="G100" s="55"/>
      <c r="H100" s="55"/>
      <c r="I100" s="55"/>
      <c r="J100" s="55"/>
      <c r="K100" s="55"/>
      <c r="L100" s="55"/>
      <c r="M100" s="247"/>
    </row>
    <row r="101" spans="2:13" x14ac:dyDescent="0.25">
      <c r="B101" s="55"/>
      <c r="C101" s="55"/>
      <c r="D101" s="55"/>
      <c r="E101" s="55"/>
      <c r="F101" s="248"/>
      <c r="G101" s="55"/>
      <c r="H101" s="55"/>
      <c r="I101" s="55"/>
      <c r="J101" s="55"/>
      <c r="K101" s="55"/>
      <c r="L101" s="55"/>
      <c r="M101" s="247"/>
    </row>
    <row r="102" spans="2:13" x14ac:dyDescent="0.25">
      <c r="B102" s="55"/>
      <c r="C102" s="55"/>
      <c r="D102" s="55"/>
      <c r="E102" s="55"/>
      <c r="F102" s="248"/>
      <c r="G102" s="55"/>
      <c r="H102" s="55"/>
      <c r="I102" s="55"/>
      <c r="J102" s="55"/>
      <c r="K102" s="55"/>
      <c r="L102" s="55"/>
      <c r="M102" s="247"/>
    </row>
    <row r="103" spans="2:13" x14ac:dyDescent="0.25">
      <c r="B103" s="55"/>
      <c r="C103" s="55"/>
      <c r="D103" s="55"/>
      <c r="E103" s="55"/>
      <c r="F103" s="248"/>
      <c r="G103" s="55"/>
      <c r="H103" s="55"/>
      <c r="I103" s="55"/>
      <c r="J103" s="55"/>
      <c r="K103" s="55"/>
      <c r="L103" s="55"/>
      <c r="M103" s="247"/>
    </row>
    <row r="104" spans="2:13" x14ac:dyDescent="0.25">
      <c r="B104" s="55"/>
      <c r="C104" s="55"/>
      <c r="D104" s="55"/>
      <c r="E104" s="55"/>
      <c r="F104" s="248"/>
      <c r="G104" s="55"/>
      <c r="H104" s="55"/>
      <c r="I104" s="55"/>
      <c r="J104" s="55"/>
      <c r="K104" s="55"/>
      <c r="L104" s="55"/>
      <c r="M104" s="247"/>
    </row>
    <row r="105" spans="2:13" x14ac:dyDescent="0.25">
      <c r="B105" s="55"/>
      <c r="C105" s="55"/>
      <c r="D105" s="55"/>
      <c r="E105" s="55"/>
      <c r="F105" s="248"/>
      <c r="G105" s="55"/>
      <c r="H105" s="55"/>
      <c r="I105" s="55"/>
      <c r="J105" s="55"/>
      <c r="K105" s="55"/>
      <c r="L105" s="55"/>
      <c r="M105" s="247"/>
    </row>
    <row r="106" spans="2:13" x14ac:dyDescent="0.25">
      <c r="B106" s="55"/>
      <c r="C106" s="55"/>
      <c r="D106" s="55"/>
      <c r="E106" s="55"/>
      <c r="F106" s="248"/>
      <c r="G106" s="55"/>
      <c r="H106" s="55"/>
      <c r="I106" s="55"/>
      <c r="J106" s="55"/>
      <c r="K106" s="55"/>
      <c r="L106" s="55"/>
      <c r="M106" s="247"/>
    </row>
    <row r="107" spans="2:13" x14ac:dyDescent="0.25">
      <c r="B107" s="55"/>
      <c r="C107" s="55"/>
      <c r="D107" s="55"/>
      <c r="E107" s="55"/>
      <c r="F107" s="248"/>
      <c r="G107" s="55"/>
      <c r="H107" s="55"/>
      <c r="I107" s="55"/>
      <c r="J107" s="55"/>
      <c r="K107" s="55"/>
      <c r="L107" s="55"/>
      <c r="M107" s="247"/>
    </row>
    <row r="108" spans="2:13" x14ac:dyDescent="0.25">
      <c r="B108" s="55"/>
      <c r="C108" s="55"/>
      <c r="D108" s="55"/>
      <c r="E108" s="55"/>
      <c r="F108" s="248"/>
      <c r="G108" s="55"/>
      <c r="H108" s="55"/>
      <c r="I108" s="55"/>
      <c r="J108" s="55"/>
      <c r="K108" s="55"/>
      <c r="L108" s="55"/>
      <c r="M108" s="247"/>
    </row>
    <row r="109" spans="2:13" x14ac:dyDescent="0.25">
      <c r="B109" s="55"/>
      <c r="C109" s="55"/>
      <c r="D109" s="55"/>
      <c r="E109" s="55"/>
      <c r="F109" s="248"/>
      <c r="G109" s="55"/>
      <c r="H109" s="55"/>
      <c r="I109" s="55"/>
      <c r="J109" s="55"/>
      <c r="K109" s="55"/>
      <c r="L109" s="55"/>
      <c r="M109" s="247"/>
    </row>
    <row r="110" spans="2:13" x14ac:dyDescent="0.25">
      <c r="B110" s="55"/>
      <c r="C110" s="55"/>
      <c r="D110" s="55"/>
      <c r="E110" s="55"/>
      <c r="F110" s="248"/>
      <c r="G110" s="55"/>
      <c r="H110" s="55"/>
      <c r="I110" s="55"/>
      <c r="J110" s="55"/>
      <c r="K110" s="55"/>
      <c r="L110" s="55"/>
      <c r="M110" s="247"/>
    </row>
    <row r="111" spans="2:13" x14ac:dyDescent="0.25">
      <c r="B111" s="55"/>
      <c r="C111" s="55"/>
      <c r="D111" s="55"/>
      <c r="E111" s="55"/>
      <c r="F111" s="248"/>
      <c r="G111" s="55"/>
      <c r="H111" s="55"/>
      <c r="I111" s="55"/>
      <c r="J111" s="55"/>
      <c r="K111" s="55"/>
      <c r="L111" s="55"/>
      <c r="M111" s="247"/>
    </row>
    <row r="112" spans="2:13" x14ac:dyDescent="0.25">
      <c r="B112" s="55"/>
      <c r="C112" s="55"/>
      <c r="D112" s="55"/>
      <c r="E112" s="55"/>
      <c r="F112" s="248"/>
      <c r="G112" s="55"/>
      <c r="H112" s="55"/>
      <c r="I112" s="55"/>
      <c r="J112" s="55"/>
      <c r="K112" s="55"/>
      <c r="L112" s="55"/>
      <c r="M112" s="247"/>
    </row>
    <row r="113" spans="2:13" x14ac:dyDescent="0.25">
      <c r="B113" s="55"/>
      <c r="C113" s="55"/>
      <c r="D113" s="55"/>
      <c r="E113" s="55"/>
      <c r="F113" s="248"/>
      <c r="G113" s="55"/>
      <c r="H113" s="55"/>
      <c r="I113" s="55"/>
      <c r="J113" s="55"/>
      <c r="K113" s="55"/>
      <c r="L113" s="55"/>
      <c r="M113" s="247"/>
    </row>
    <row r="114" spans="2:13" x14ac:dyDescent="0.25">
      <c r="B114" s="55"/>
      <c r="C114" s="55"/>
      <c r="D114" s="55"/>
      <c r="E114" s="55"/>
      <c r="F114" s="248"/>
      <c r="G114" s="55"/>
      <c r="H114" s="55"/>
      <c r="I114" s="55"/>
      <c r="J114" s="55"/>
      <c r="K114" s="55"/>
      <c r="L114" s="55"/>
      <c r="M114" s="247"/>
    </row>
    <row r="115" spans="2:13" x14ac:dyDescent="0.25">
      <c r="B115" s="55"/>
      <c r="C115" s="55"/>
      <c r="D115" s="55"/>
      <c r="E115" s="55"/>
      <c r="F115" s="248"/>
      <c r="G115" s="55"/>
      <c r="H115" s="55"/>
      <c r="I115" s="55"/>
      <c r="J115" s="55"/>
      <c r="K115" s="55"/>
      <c r="L115" s="55"/>
      <c r="M115" s="247"/>
    </row>
    <row r="116" spans="2:13" x14ac:dyDescent="0.25">
      <c r="B116" s="55"/>
      <c r="C116" s="55"/>
      <c r="D116" s="55"/>
      <c r="E116" s="55"/>
      <c r="F116" s="248"/>
      <c r="G116" s="55"/>
      <c r="H116" s="55"/>
      <c r="I116" s="55"/>
      <c r="J116" s="55"/>
      <c r="K116" s="55"/>
      <c r="L116" s="55"/>
      <c r="M116" s="247"/>
    </row>
  </sheetData>
  <sheetProtection selectLockedCells="1"/>
  <mergeCells count="23">
    <mergeCell ref="A28:J29"/>
    <mergeCell ref="E9:H9"/>
    <mergeCell ref="E4:H4"/>
    <mergeCell ref="E5:H5"/>
    <mergeCell ref="E6:H6"/>
    <mergeCell ref="E7:H7"/>
    <mergeCell ref="E8:H8"/>
    <mergeCell ref="M37:R37"/>
    <mergeCell ref="M40:R40"/>
    <mergeCell ref="B2:J2"/>
    <mergeCell ref="L4:L7"/>
    <mergeCell ref="L9:L12"/>
    <mergeCell ref="L14:L17"/>
    <mergeCell ref="L29:L32"/>
    <mergeCell ref="B22:J22"/>
    <mergeCell ref="B23:J23"/>
    <mergeCell ref="B24:J24"/>
    <mergeCell ref="B21:J21"/>
    <mergeCell ref="L24:L27"/>
    <mergeCell ref="M34:R34"/>
    <mergeCell ref="M8:R8"/>
    <mergeCell ref="M13:R13"/>
    <mergeCell ref="A26:J27"/>
  </mergeCells>
  <phoneticPr fontId="0" type="noConversion"/>
  <conditionalFormatting sqref="B17:J17">
    <cfRule type="expression" dxfId="46" priority="4">
      <formula>$B$17=0</formula>
    </cfRule>
  </conditionalFormatting>
  <conditionalFormatting sqref="B16:J16">
    <cfRule type="expression" dxfId="45" priority="3">
      <formula>$B$16=0</formula>
    </cfRule>
  </conditionalFormatting>
  <conditionalFormatting sqref="A1:XFD25 A30:XFD1048576">
    <cfRule type="containsErrors" dxfId="44" priority="2">
      <formula>ISERROR(A1)</formula>
    </cfRule>
  </conditionalFormatting>
  <conditionalFormatting sqref="A26 A28 K26:XFD29">
    <cfRule type="containsErrors" dxfId="43" priority="1">
      <formula>ISERROR(A26)</formula>
    </cfRule>
  </conditionalFormatting>
  <hyperlinks>
    <hyperlink ref="A28:H28" r:id="rId1" display="https://www.telemat.org/FFBI/sif/"/>
  </hyperlinks>
  <printOptions horizontalCentered="1"/>
  <pageMargins left="0.19685039370078741" right="0.19685039370078741" top="0.19685039370078741" bottom="0.19685039370078741" header="0.11811023622047245" footer="0.11811023622047245"/>
  <pageSetup paperSize="9" scale="87" orientation="landscape" horizontalDpi="4294967293" verticalDpi="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45"/>
  <sheetViews>
    <sheetView showGridLines="0" topLeftCell="A16" zoomScale="80" zoomScaleNormal="80" workbookViewId="0">
      <selection activeCell="AD11" sqref="AD11"/>
    </sheetView>
  </sheetViews>
  <sheetFormatPr baseColWidth="10" defaultColWidth="11.42578125" defaultRowHeight="14.25" x14ac:dyDescent="0.25"/>
  <cols>
    <col min="1" max="1" width="7.42578125" style="108" customWidth="1"/>
    <col min="2" max="2" width="11.85546875" style="108" customWidth="1"/>
    <col min="3" max="3" width="5.5703125" style="108" customWidth="1"/>
    <col min="4" max="4" width="46.140625" style="108" customWidth="1"/>
    <col min="5" max="10" width="2.140625" style="108" customWidth="1"/>
    <col min="11" max="11" width="7.7109375" style="108" customWidth="1"/>
    <col min="12" max="12" width="11.140625" style="108" customWidth="1"/>
    <col min="13" max="14" width="8.7109375" style="108" customWidth="1"/>
    <col min="15" max="16" width="13.28515625" style="108" customWidth="1"/>
    <col min="17" max="17" width="7.42578125" style="108" customWidth="1"/>
    <col min="18" max="18" width="0" style="108" hidden="1" customWidth="1"/>
    <col min="19" max="19" width="28" style="108" hidden="1" customWidth="1"/>
    <col min="20" max="20" width="28" style="190" hidden="1" customWidth="1"/>
    <col min="21" max="26" width="11.42578125" style="190" hidden="1" customWidth="1"/>
    <col min="27" max="27" width="11.42578125" style="108" hidden="1" customWidth="1"/>
    <col min="28" max="33" width="11.42578125" style="108" customWidth="1"/>
    <col min="34" max="16384" width="11.42578125" style="108"/>
  </cols>
  <sheetData>
    <row r="1" spans="2:33" ht="43.5" customHeight="1" x14ac:dyDescent="0.25">
      <c r="B1" s="366" t="s">
        <v>80</v>
      </c>
      <c r="C1" s="366"/>
      <c r="D1" s="366"/>
      <c r="K1" s="366" t="s">
        <v>81</v>
      </c>
      <c r="L1" s="366"/>
      <c r="M1" s="366"/>
      <c r="N1" s="366"/>
      <c r="O1" s="366"/>
      <c r="P1" s="366"/>
      <c r="Q1" s="366"/>
    </row>
    <row r="2" spans="2:33" ht="18" x14ac:dyDescent="0.25">
      <c r="B2" s="366" t="s">
        <v>82</v>
      </c>
      <c r="C2" s="366"/>
      <c r="D2" s="366"/>
      <c r="K2" s="366" t="s">
        <v>367</v>
      </c>
      <c r="L2" s="366"/>
      <c r="M2" s="366"/>
      <c r="N2" s="366"/>
      <c r="O2" s="366"/>
      <c r="P2" s="366"/>
      <c r="Q2" s="366"/>
    </row>
    <row r="3" spans="2:33" ht="54.75" customHeight="1" x14ac:dyDescent="0.25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33" ht="18" x14ac:dyDescent="0.25">
      <c r="C4" s="136"/>
      <c r="D4" s="367" t="s">
        <v>83</v>
      </c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</row>
    <row r="5" spans="2:33" ht="15" x14ac:dyDescent="0.25">
      <c r="C5" s="136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</row>
    <row r="6" spans="2:33" ht="15" x14ac:dyDescent="0.25">
      <c r="C6" s="136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</row>
    <row r="7" spans="2:33" x14ac:dyDescent="0.25">
      <c r="C7" s="136"/>
    </row>
    <row r="8" spans="2:33" ht="48" customHeight="1" x14ac:dyDescent="0.25"/>
    <row r="9" spans="2:33" ht="46.5" customHeight="1" x14ac:dyDescent="0.25">
      <c r="B9" s="371" t="str">
        <f>IF(Tirage!H5="","",Tirage!H5)</f>
        <v/>
      </c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3"/>
      <c r="S9" s="108" t="s">
        <v>84</v>
      </c>
    </row>
    <row r="10" spans="2:33" ht="38.25" customHeight="1" x14ac:dyDescent="0.25">
      <c r="B10" s="368" t="s">
        <v>85</v>
      </c>
      <c r="C10" s="368"/>
      <c r="D10" s="369" t="str">
        <f>IF(Tirage!H6="","",Tirage!H6)</f>
        <v/>
      </c>
      <c r="E10" s="369"/>
      <c r="F10" s="369"/>
      <c r="G10" s="368" t="s">
        <v>6</v>
      </c>
      <c r="H10" s="368"/>
      <c r="I10" s="368"/>
      <c r="J10" s="368"/>
      <c r="K10" s="368"/>
      <c r="L10" s="370" t="str">
        <f>IF(Tirage!H7="","",Tirage!H7)</f>
        <v/>
      </c>
      <c r="M10" s="370"/>
      <c r="N10" s="370"/>
      <c r="O10" s="370"/>
      <c r="P10" s="370"/>
      <c r="Q10" s="370"/>
      <c r="S10" s="108" t="s">
        <v>86</v>
      </c>
      <c r="T10" s="191"/>
      <c r="U10" s="191"/>
      <c r="V10" s="191"/>
      <c r="W10" s="191"/>
      <c r="X10" s="191"/>
      <c r="Y10" s="191"/>
      <c r="Z10" s="191"/>
      <c r="AA10" s="109"/>
    </row>
    <row r="11" spans="2:33" ht="40.5" customHeight="1" x14ac:dyDescent="0.25">
      <c r="B11" s="382" t="s">
        <v>87</v>
      </c>
      <c r="C11" s="382"/>
      <c r="D11" s="383" t="str">
        <f>IF(Tirage!H8="","",Tirage!H8)</f>
        <v/>
      </c>
      <c r="E11" s="383"/>
      <c r="F11" s="383"/>
      <c r="G11" s="382" t="s">
        <v>8</v>
      </c>
      <c r="H11" s="382"/>
      <c r="I11" s="382"/>
      <c r="J11" s="382"/>
      <c r="K11" s="382"/>
      <c r="L11" s="384" t="str">
        <f>IF(Tirage!H9="","",Tirage!H9)</f>
        <v/>
      </c>
      <c r="M11" s="384"/>
      <c r="N11" s="384"/>
      <c r="O11" s="384"/>
      <c r="P11" s="384"/>
      <c r="Q11" s="384"/>
      <c r="S11" s="108" t="s">
        <v>88</v>
      </c>
      <c r="T11" s="191"/>
      <c r="U11" s="191"/>
      <c r="V11" s="191"/>
      <c r="W11" s="191"/>
      <c r="X11" s="191"/>
      <c r="Y11" s="191"/>
      <c r="Z11" s="191"/>
      <c r="AA11" s="109"/>
    </row>
    <row r="12" spans="2:33" ht="35.25" customHeight="1" x14ac:dyDescent="0.25">
      <c r="S12" s="109"/>
      <c r="T12" s="191"/>
      <c r="U12" s="191"/>
      <c r="V12" s="191"/>
      <c r="W12" s="191"/>
      <c r="X12" s="191"/>
      <c r="Y12" s="191"/>
      <c r="Z12" s="191"/>
      <c r="AA12" s="109"/>
    </row>
    <row r="13" spans="2:33" ht="15" customHeight="1" x14ac:dyDescent="0.25">
      <c r="B13" s="385" t="s">
        <v>89</v>
      </c>
      <c r="C13" s="375" t="s">
        <v>90</v>
      </c>
      <c r="D13" s="375"/>
      <c r="E13" s="375" t="s">
        <v>91</v>
      </c>
      <c r="F13" s="375"/>
      <c r="G13" s="375"/>
      <c r="H13" s="375"/>
      <c r="I13" s="375"/>
      <c r="J13" s="375"/>
      <c r="K13" s="375"/>
      <c r="L13" s="375" t="s">
        <v>77</v>
      </c>
      <c r="M13" s="375" t="s">
        <v>92</v>
      </c>
      <c r="N13" s="375" t="s">
        <v>93</v>
      </c>
      <c r="O13" s="375" t="s">
        <v>94</v>
      </c>
      <c r="P13" s="375" t="s">
        <v>95</v>
      </c>
      <c r="Q13" s="375" t="s">
        <v>79</v>
      </c>
      <c r="S13" s="109"/>
      <c r="T13" s="191"/>
      <c r="U13" s="191"/>
      <c r="V13" s="191"/>
      <c r="W13" s="191"/>
      <c r="X13" s="191"/>
      <c r="Y13" s="191"/>
      <c r="Z13" s="191"/>
      <c r="AA13" s="109"/>
    </row>
    <row r="14" spans="2:33" x14ac:dyDescent="0.25">
      <c r="B14" s="385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8"/>
      <c r="N14" s="376"/>
      <c r="O14" s="376"/>
      <c r="P14" s="376"/>
      <c r="Q14" s="376"/>
      <c r="S14" s="109"/>
      <c r="T14" s="191"/>
      <c r="U14" s="191"/>
      <c r="V14" s="191"/>
      <c r="W14" s="191"/>
      <c r="X14" s="191"/>
      <c r="Y14" s="191"/>
      <c r="Z14" s="191"/>
      <c r="AA14" s="109"/>
    </row>
    <row r="15" spans="2:33" ht="27.75" customHeight="1" x14ac:dyDescent="0.25">
      <c r="B15" s="385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9"/>
      <c r="N15" s="377"/>
      <c r="O15" s="377"/>
      <c r="P15" s="377"/>
      <c r="Q15" s="377"/>
      <c r="S15" s="105" t="str">
        <f>'Classement impression'!D12</f>
        <v>NOM</v>
      </c>
      <c r="T15" s="141" t="s">
        <v>91</v>
      </c>
      <c r="U15" s="141" t="str">
        <f>'Classement impression'!E12</f>
        <v>Pts</v>
      </c>
      <c r="V15" s="192" t="str">
        <f>'Classement impression'!F12</f>
        <v>Points</v>
      </c>
      <c r="W15" s="141" t="str">
        <f>'Classement impression'!G12</f>
        <v>Rep</v>
      </c>
      <c r="X15" s="141" t="str">
        <f>'Classement impression'!J12</f>
        <v>Part</v>
      </c>
      <c r="Y15" s="141" t="str">
        <f>'Classement impression'!I12</f>
        <v>Moyenne</v>
      </c>
      <c r="Z15" s="141" t="str">
        <f>'Classement impression'!H12</f>
        <v>Série</v>
      </c>
      <c r="AA15" s="109"/>
    </row>
    <row r="16" spans="2:33" ht="28.5" customHeight="1" x14ac:dyDescent="0.25">
      <c r="B16" s="106">
        <v>1</v>
      </c>
      <c r="C16" s="380" t="e">
        <f>'Classement impression'!D13</f>
        <v>#N/A</v>
      </c>
      <c r="D16" s="380"/>
      <c r="E16" s="381" t="e">
        <f>IF(T16="","",T16)</f>
        <v>#N/A</v>
      </c>
      <c r="F16" s="381"/>
      <c r="G16" s="381"/>
      <c r="H16" s="381"/>
      <c r="I16" s="381"/>
      <c r="J16" s="381"/>
      <c r="K16" s="381"/>
      <c r="L16" s="310" t="e">
        <f>'Classement impression'!E13</f>
        <v>#N/A</v>
      </c>
      <c r="M16" s="310" t="e">
        <f>'Classement impression'!F13</f>
        <v>#N/A</v>
      </c>
      <c r="N16" s="310" t="e">
        <f>'Classement impression'!G13</f>
        <v>#N/A</v>
      </c>
      <c r="O16" s="107"/>
      <c r="P16" s="107" t="e">
        <f>'Classement impression'!J13</f>
        <v>#N/A</v>
      </c>
      <c r="Q16" s="212"/>
      <c r="S16" s="105" t="e">
        <f>IF('Classement impression'!D13="","",'Classement impression'!D13)</f>
        <v>#N/A</v>
      </c>
      <c r="T16" s="141" t="e">
        <f>IF(S16="","",VLOOKUP(S16,Tirage!$B$6:$C$13,2,FALSE))</f>
        <v>#N/A</v>
      </c>
      <c r="U16" s="141" t="e">
        <f>IF('Classement impression'!E13="","",'Classement impression'!E13)</f>
        <v>#N/A</v>
      </c>
      <c r="V16" s="141" t="e">
        <f>IF('Classement impression'!F13="","",'Classement impression'!F13)</f>
        <v>#N/A</v>
      </c>
      <c r="W16" s="141" t="e">
        <f>IF('Classement impression'!G13="","",'Classement impression'!G13)</f>
        <v>#N/A</v>
      </c>
      <c r="X16" s="141" t="e">
        <f>IF('Classement impression'!J13="","",'Classement impression'!J13)</f>
        <v>#N/A</v>
      </c>
      <c r="Y16" s="141" t="e">
        <f>IF('Classement impression'!I13="","",'Classement impression'!I13)</f>
        <v>#N/A</v>
      </c>
      <c r="Z16" s="141" t="e">
        <f>IF('Classement impression'!H13="","",'Classement impression'!H13)</f>
        <v>#N/A</v>
      </c>
      <c r="AA16" s="105"/>
      <c r="AB16" s="108" t="s">
        <v>96</v>
      </c>
      <c r="AC16" s="108" t="s">
        <v>96</v>
      </c>
      <c r="AD16" s="108" t="s">
        <v>96</v>
      </c>
      <c r="AE16" s="110" t="s">
        <v>96</v>
      </c>
      <c r="AF16" s="110" t="s">
        <v>96</v>
      </c>
      <c r="AG16" s="108" t="s">
        <v>96</v>
      </c>
    </row>
    <row r="17" spans="2:33" ht="28.5" customHeight="1" x14ac:dyDescent="0.25">
      <c r="B17" s="111">
        <v>2</v>
      </c>
      <c r="C17" s="386" t="e">
        <f>'Classement impression'!D14</f>
        <v>#N/A</v>
      </c>
      <c r="D17" s="386"/>
      <c r="E17" s="387" t="e">
        <f t="shared" ref="E17:E20" si="0">IF(T17="","",T17)</f>
        <v>#N/A</v>
      </c>
      <c r="F17" s="387"/>
      <c r="G17" s="387"/>
      <c r="H17" s="387"/>
      <c r="I17" s="387"/>
      <c r="J17" s="387"/>
      <c r="K17" s="387"/>
      <c r="L17" s="210"/>
      <c r="M17" s="210"/>
      <c r="N17" s="210"/>
      <c r="O17" s="112"/>
      <c r="P17" s="112"/>
      <c r="Q17" s="210"/>
      <c r="S17" s="105" t="e">
        <f>IF('Classement impression'!D14="","",'Classement impression'!D14)</f>
        <v>#N/A</v>
      </c>
      <c r="T17" s="141" t="e">
        <f>IF(S17="","",VLOOKUP(S17,Tirage!$B$6:$C$13,2,FALSE))</f>
        <v>#N/A</v>
      </c>
      <c r="U17" s="141" t="e">
        <f>IF('Classement impression'!#REF!="","",'Classement impression'!#REF!)</f>
        <v>#REF!</v>
      </c>
      <c r="V17" s="141" t="e">
        <f>IF('Classement impression'!F14="","",'Classement impression'!F14)</f>
        <v>#N/A</v>
      </c>
      <c r="W17" s="141" t="e">
        <f>IF('Classement impression'!G14="","",'Classement impression'!G14)</f>
        <v>#N/A</v>
      </c>
      <c r="X17" s="141" t="e">
        <f>IF('Classement impression'!J14="","",'Classement impression'!J14)</f>
        <v>#N/A</v>
      </c>
      <c r="Y17" s="141" t="e">
        <f>IF('Classement impression'!I14="","",'Classement impression'!I14)</f>
        <v>#N/A</v>
      </c>
      <c r="Z17" s="141" t="e">
        <f>IF('Classement impression'!H14="","",'Classement impression'!H14)</f>
        <v>#N/A</v>
      </c>
      <c r="AA17" s="105"/>
      <c r="AB17" s="108" t="s">
        <v>96</v>
      </c>
      <c r="AC17" s="108" t="s">
        <v>96</v>
      </c>
      <c r="AD17" s="108" t="s">
        <v>96</v>
      </c>
      <c r="AE17" s="110" t="s">
        <v>96</v>
      </c>
      <c r="AF17" s="110" t="s">
        <v>96</v>
      </c>
      <c r="AG17" s="108" t="s">
        <v>96</v>
      </c>
    </row>
    <row r="18" spans="2:33" ht="28.5" customHeight="1" x14ac:dyDescent="0.25">
      <c r="B18" s="111">
        <v>3</v>
      </c>
      <c r="C18" s="386" t="e">
        <f>'Classement impression'!D15</f>
        <v>#N/A</v>
      </c>
      <c r="D18" s="386"/>
      <c r="E18" s="387" t="e">
        <f t="shared" si="0"/>
        <v>#N/A</v>
      </c>
      <c r="F18" s="387"/>
      <c r="G18" s="387"/>
      <c r="H18" s="387"/>
      <c r="I18" s="387"/>
      <c r="J18" s="387"/>
      <c r="K18" s="387"/>
      <c r="L18" s="210"/>
      <c r="M18" s="210"/>
      <c r="N18" s="210"/>
      <c r="O18" s="112"/>
      <c r="P18" s="112"/>
      <c r="Q18" s="210"/>
      <c r="S18" s="105" t="e">
        <f>IF('Classement impression'!D15="","",'Classement impression'!D15)</f>
        <v>#N/A</v>
      </c>
      <c r="T18" s="141" t="e">
        <f>IF(S18="","",VLOOKUP(S18,Tirage!$B$6:$C$13,2,FALSE))</f>
        <v>#N/A</v>
      </c>
      <c r="U18" s="141" t="e">
        <f>IF('Classement impression'!#REF!="","",'Classement impression'!#REF!)</f>
        <v>#REF!</v>
      </c>
      <c r="V18" s="141" t="e">
        <f>IF('Classement impression'!F15="","",'Classement impression'!F15)</f>
        <v>#N/A</v>
      </c>
      <c r="W18" s="141" t="e">
        <f>IF('Classement impression'!G15="","",'Classement impression'!G15)</f>
        <v>#N/A</v>
      </c>
      <c r="X18" s="141" t="e">
        <f>IF('Classement impression'!J15="","",'Classement impression'!J15)</f>
        <v>#N/A</v>
      </c>
      <c r="Y18" s="141" t="e">
        <f>IF('Classement impression'!I15="","",'Classement impression'!I15)</f>
        <v>#N/A</v>
      </c>
      <c r="Z18" s="141" t="e">
        <f>IF('Classement impression'!H15="","",'Classement impression'!H15)</f>
        <v>#N/A</v>
      </c>
      <c r="AA18" s="105"/>
      <c r="AB18" s="108" t="s">
        <v>96</v>
      </c>
      <c r="AC18" s="108" t="s">
        <v>96</v>
      </c>
      <c r="AD18" s="108" t="s">
        <v>96</v>
      </c>
      <c r="AE18" s="110" t="s">
        <v>96</v>
      </c>
      <c r="AF18" s="110" t="s">
        <v>96</v>
      </c>
      <c r="AG18" s="108" t="s">
        <v>96</v>
      </c>
    </row>
    <row r="19" spans="2:33" ht="28.5" customHeight="1" x14ac:dyDescent="0.25">
      <c r="B19" s="111">
        <v>4</v>
      </c>
      <c r="C19" s="386" t="e">
        <f>'Classement impression'!D16</f>
        <v>#N/A</v>
      </c>
      <c r="D19" s="386"/>
      <c r="E19" s="387" t="e">
        <f t="shared" si="0"/>
        <v>#N/A</v>
      </c>
      <c r="F19" s="387"/>
      <c r="G19" s="387"/>
      <c r="H19" s="387"/>
      <c r="I19" s="387"/>
      <c r="J19" s="387"/>
      <c r="K19" s="387"/>
      <c r="L19" s="210"/>
      <c r="M19" s="210"/>
      <c r="N19" s="210"/>
      <c r="O19" s="112"/>
      <c r="P19" s="112"/>
      <c r="Q19" s="210"/>
      <c r="S19" s="105" t="e">
        <f>IF('Classement impression'!D16="","",'Classement impression'!D16)</f>
        <v>#N/A</v>
      </c>
      <c r="T19" s="141" t="e">
        <f>IF(S19="","",VLOOKUP(S19,Tirage!$B$6:$C$13,2,FALSE))</f>
        <v>#N/A</v>
      </c>
      <c r="U19" s="141" t="e">
        <f>IF('Classement impression'!#REF!="","",'Classement impression'!#REF!)</f>
        <v>#REF!</v>
      </c>
      <c r="V19" s="141" t="e">
        <f>IF('Classement impression'!F16="","",'Classement impression'!F16)</f>
        <v>#N/A</v>
      </c>
      <c r="W19" s="141" t="e">
        <f>IF('Classement impression'!G16="","",'Classement impression'!G16)</f>
        <v>#N/A</v>
      </c>
      <c r="X19" s="141" t="e">
        <f>IF('Classement impression'!J16="","",'Classement impression'!J16)</f>
        <v>#N/A</v>
      </c>
      <c r="Y19" s="141" t="e">
        <f>IF('Classement impression'!I16="","",'Classement impression'!I16)</f>
        <v>#N/A</v>
      </c>
      <c r="Z19" s="141" t="e">
        <f>IF('Classement impression'!H16="","",'Classement impression'!H16)</f>
        <v>#N/A</v>
      </c>
      <c r="AA19" s="105"/>
      <c r="AB19" s="108" t="s">
        <v>96</v>
      </c>
      <c r="AC19" s="108" t="s">
        <v>96</v>
      </c>
      <c r="AD19" s="108" t="s">
        <v>96</v>
      </c>
      <c r="AE19" s="110" t="s">
        <v>96</v>
      </c>
      <c r="AF19" s="110" t="s">
        <v>96</v>
      </c>
      <c r="AG19" s="108" t="s">
        <v>96</v>
      </c>
    </row>
    <row r="20" spans="2:33" ht="28.5" customHeight="1" x14ac:dyDescent="0.25">
      <c r="B20" s="213">
        <v>5</v>
      </c>
      <c r="C20" s="390" t="e">
        <f>'Classement impression'!D17</f>
        <v>#N/A</v>
      </c>
      <c r="D20" s="390"/>
      <c r="E20" s="391" t="e">
        <f t="shared" si="0"/>
        <v>#N/A</v>
      </c>
      <c r="F20" s="391"/>
      <c r="G20" s="391"/>
      <c r="H20" s="391"/>
      <c r="I20" s="391"/>
      <c r="J20" s="391"/>
      <c r="K20" s="391"/>
      <c r="L20" s="211"/>
      <c r="M20" s="211"/>
      <c r="N20" s="211"/>
      <c r="O20" s="113"/>
      <c r="P20" s="113"/>
      <c r="Q20" s="211"/>
      <c r="S20" s="105" t="e">
        <f>IF('Classement impression'!D17="","",'Classement impression'!D17)</f>
        <v>#N/A</v>
      </c>
      <c r="T20" s="141" t="e">
        <f>IF(S20="","",VLOOKUP(S20,Tirage!$B$6:$C$13,2,FALSE))</f>
        <v>#N/A</v>
      </c>
      <c r="U20" s="141" t="e">
        <f>IF('Classement impression'!#REF!="","",'Classement impression'!#REF!)</f>
        <v>#REF!</v>
      </c>
      <c r="V20" s="141" t="e">
        <f>IF('Classement impression'!F17="","",'Classement impression'!F17)</f>
        <v>#N/A</v>
      </c>
      <c r="W20" s="141" t="e">
        <f>IF('Classement impression'!G17="","",'Classement impression'!G17)</f>
        <v>#N/A</v>
      </c>
      <c r="X20" s="141" t="e">
        <f>IF('Classement impression'!J17="","",'Classement impression'!J17)</f>
        <v>#N/A</v>
      </c>
      <c r="Y20" s="141" t="e">
        <f>IF('Classement impression'!I17="","",'Classement impression'!I17)</f>
        <v>#N/A</v>
      </c>
      <c r="Z20" s="141" t="e">
        <f>IF('Classement impression'!H17="","",'Classement impression'!H17)</f>
        <v>#N/A</v>
      </c>
      <c r="AA20" s="105"/>
      <c r="AB20" s="108" t="s">
        <v>96</v>
      </c>
      <c r="AC20" s="108" t="s">
        <v>96</v>
      </c>
      <c r="AD20" s="108" t="s">
        <v>96</v>
      </c>
      <c r="AE20" s="110" t="s">
        <v>96</v>
      </c>
      <c r="AF20" s="110" t="s">
        <v>96</v>
      </c>
      <c r="AG20" s="108" t="s">
        <v>96</v>
      </c>
    </row>
    <row r="21" spans="2:33" x14ac:dyDescent="0.25">
      <c r="C21" s="138"/>
      <c r="D21" s="139"/>
      <c r="E21" s="392"/>
      <c r="F21" s="392"/>
      <c r="G21" s="392"/>
      <c r="H21" s="392"/>
      <c r="I21" s="392"/>
      <c r="J21" s="392"/>
      <c r="K21" s="392"/>
      <c r="L21" s="140"/>
      <c r="M21" s="140"/>
      <c r="N21" s="140"/>
      <c r="O21" s="142"/>
      <c r="P21" s="142"/>
      <c r="Q21" s="140"/>
      <c r="S21" s="109"/>
      <c r="T21" s="191"/>
      <c r="U21" s="191"/>
      <c r="V21" s="191"/>
      <c r="W21" s="191"/>
      <c r="X21" s="191"/>
      <c r="Y21" s="191"/>
      <c r="Z21" s="191"/>
      <c r="AA21" s="109"/>
    </row>
    <row r="22" spans="2:33" x14ac:dyDescent="0.25">
      <c r="C22" s="138"/>
      <c r="D22" s="139"/>
      <c r="E22" s="392"/>
      <c r="F22" s="392"/>
      <c r="G22" s="392"/>
      <c r="H22" s="392"/>
      <c r="I22" s="392"/>
      <c r="J22" s="392"/>
      <c r="K22" s="392"/>
      <c r="L22" s="140"/>
      <c r="M22" s="140"/>
      <c r="N22" s="140"/>
      <c r="O22" s="142"/>
      <c r="P22" s="142"/>
      <c r="Q22" s="140"/>
    </row>
    <row r="23" spans="2:33" x14ac:dyDescent="0.25">
      <c r="C23" s="143"/>
    </row>
    <row r="24" spans="2:33" x14ac:dyDescent="0.25">
      <c r="C24" s="143"/>
    </row>
    <row r="25" spans="2:33" ht="23.25" customHeight="1" x14ac:dyDescent="0.25">
      <c r="B25" s="393" t="s">
        <v>97</v>
      </c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</row>
    <row r="26" spans="2:33" ht="31.5" customHeight="1" x14ac:dyDescent="0.25">
      <c r="B26" s="114">
        <v>1</v>
      </c>
      <c r="C26" s="394"/>
      <c r="D26" s="394"/>
      <c r="E26" s="395"/>
      <c r="F26" s="395"/>
      <c r="G26" s="395"/>
      <c r="H26" s="395"/>
      <c r="I26" s="395"/>
      <c r="J26" s="395"/>
      <c r="K26" s="395"/>
      <c r="L26" s="115"/>
      <c r="M26" s="115"/>
      <c r="N26" s="115"/>
      <c r="O26" s="115"/>
      <c r="P26" s="115"/>
      <c r="Q26" s="115"/>
    </row>
    <row r="27" spans="2:33" ht="31.5" customHeight="1" x14ac:dyDescent="0.25">
      <c r="B27" s="116">
        <v>2</v>
      </c>
      <c r="C27" s="390"/>
      <c r="D27" s="390"/>
      <c r="E27" s="389"/>
      <c r="F27" s="389"/>
      <c r="G27" s="389"/>
      <c r="H27" s="389"/>
      <c r="I27" s="389"/>
      <c r="J27" s="389"/>
      <c r="K27" s="389"/>
      <c r="L27" s="117"/>
      <c r="M27" s="117"/>
      <c r="N27" s="117"/>
      <c r="O27" s="117"/>
      <c r="P27" s="117"/>
      <c r="Q27" s="117"/>
    </row>
    <row r="29" spans="2:33" ht="66.75" customHeight="1" x14ac:dyDescent="0.25"/>
    <row r="30" spans="2:33" s="144" customFormat="1" ht="18" x14ac:dyDescent="0.25">
      <c r="C30" s="144" t="s">
        <v>98</v>
      </c>
      <c r="M30" s="388" t="str">
        <f>IF(Tirage!H11="","",Tirage!H11)</f>
        <v/>
      </c>
      <c r="N30" s="388"/>
      <c r="O30" s="388"/>
      <c r="P30" s="388"/>
      <c r="Q30" s="388"/>
      <c r="T30" s="137"/>
      <c r="U30" s="137"/>
      <c r="V30" s="137"/>
      <c r="W30" s="137"/>
      <c r="X30" s="137"/>
      <c r="Y30" s="137"/>
      <c r="Z30" s="137"/>
    </row>
    <row r="31" spans="2:33" s="144" customFormat="1" ht="18" x14ac:dyDescent="0.25">
      <c r="T31" s="137"/>
      <c r="U31" s="137"/>
      <c r="V31" s="137"/>
      <c r="W31" s="137"/>
      <c r="X31" s="137"/>
      <c r="Y31" s="137"/>
      <c r="Z31" s="137"/>
    </row>
    <row r="32" spans="2:33" s="144" customFormat="1" ht="18" x14ac:dyDescent="0.25">
      <c r="T32" s="137"/>
      <c r="U32" s="137"/>
      <c r="V32" s="137"/>
      <c r="W32" s="137"/>
      <c r="X32" s="137"/>
      <c r="Y32" s="137"/>
      <c r="Z32" s="137"/>
    </row>
    <row r="33" spans="2:26" s="144" customFormat="1" ht="18" x14ac:dyDescent="0.25">
      <c r="B33" s="144" t="s">
        <v>99</v>
      </c>
      <c r="C33" s="399" t="s">
        <v>368</v>
      </c>
      <c r="D33" s="399"/>
      <c r="M33" s="144" t="s">
        <v>100</v>
      </c>
      <c r="T33" s="137"/>
      <c r="U33" s="137"/>
      <c r="V33" s="137"/>
      <c r="W33" s="137"/>
      <c r="X33" s="137"/>
      <c r="Y33" s="137"/>
      <c r="Z33" s="137"/>
    </row>
    <row r="34" spans="2:26" s="144" customFormat="1" ht="18" x14ac:dyDescent="0.25">
      <c r="T34" s="137"/>
      <c r="U34" s="137"/>
      <c r="V34" s="137"/>
      <c r="W34" s="137"/>
      <c r="X34" s="137"/>
      <c r="Y34" s="137"/>
      <c r="Z34" s="137"/>
    </row>
    <row r="35" spans="2:26" s="144" customFormat="1" ht="52.5" customHeight="1" x14ac:dyDescent="0.25">
      <c r="T35" s="137"/>
      <c r="U35" s="137"/>
      <c r="V35" s="137"/>
      <c r="W35" s="137"/>
      <c r="X35" s="137"/>
      <c r="Y35" s="137"/>
      <c r="Z35" s="137"/>
    </row>
    <row r="36" spans="2:26" s="144" customFormat="1" ht="25.5" customHeight="1" x14ac:dyDescent="0.25">
      <c r="B36" s="400" t="s">
        <v>101</v>
      </c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2"/>
      <c r="T36" s="137"/>
      <c r="U36" s="137"/>
      <c r="V36" s="137"/>
      <c r="W36" s="137"/>
      <c r="X36" s="137"/>
      <c r="Y36" s="137"/>
      <c r="Z36" s="137"/>
    </row>
    <row r="37" spans="2:26" s="144" customFormat="1" ht="36.75" customHeight="1" x14ac:dyDescent="0.25">
      <c r="B37" s="403" t="s">
        <v>102</v>
      </c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404"/>
      <c r="T37" s="137"/>
      <c r="U37" s="137"/>
      <c r="V37" s="137"/>
      <c r="W37" s="137"/>
      <c r="X37" s="137"/>
      <c r="Y37" s="137"/>
      <c r="Z37" s="137"/>
    </row>
    <row r="38" spans="2:26" s="144" customFormat="1" ht="42.75" customHeight="1" x14ac:dyDescent="0.25">
      <c r="B38" s="403" t="s">
        <v>103</v>
      </c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404"/>
      <c r="T38" s="137"/>
      <c r="U38" s="137"/>
      <c r="V38" s="137"/>
      <c r="W38" s="137"/>
      <c r="X38" s="137"/>
      <c r="Y38" s="137"/>
      <c r="Z38" s="137"/>
    </row>
    <row r="39" spans="2:26" s="144" customFormat="1" ht="18" x14ac:dyDescent="0.25">
      <c r="B39" s="396" t="s">
        <v>104</v>
      </c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8"/>
      <c r="T39" s="137"/>
      <c r="U39" s="137"/>
      <c r="V39" s="137"/>
      <c r="W39" s="137"/>
      <c r="X39" s="137"/>
      <c r="Y39" s="137"/>
      <c r="Z39" s="137"/>
    </row>
    <row r="40" spans="2:26" s="145" customFormat="1" ht="18" x14ac:dyDescent="0.25">
      <c r="T40" s="182"/>
      <c r="U40" s="182"/>
      <c r="V40" s="182"/>
      <c r="W40" s="182"/>
      <c r="X40" s="182"/>
      <c r="Y40" s="182"/>
      <c r="Z40" s="182"/>
    </row>
    <row r="41" spans="2:26" s="145" customFormat="1" ht="18" x14ac:dyDescent="0.25">
      <c r="T41" s="182"/>
      <c r="U41" s="182"/>
      <c r="V41" s="182"/>
      <c r="W41" s="182"/>
      <c r="X41" s="182"/>
      <c r="Y41" s="182"/>
      <c r="Z41" s="182"/>
    </row>
    <row r="42" spans="2:26" s="145" customFormat="1" ht="18" x14ac:dyDescent="0.25">
      <c r="D42" s="146"/>
      <c r="T42" s="182"/>
      <c r="U42" s="182"/>
      <c r="V42" s="182"/>
      <c r="W42" s="182"/>
      <c r="X42" s="182"/>
      <c r="Y42" s="182"/>
      <c r="Z42" s="182"/>
    </row>
    <row r="43" spans="2:26" s="145" customFormat="1" ht="18" x14ac:dyDescent="0.25">
      <c r="D43" s="147"/>
      <c r="T43" s="182"/>
      <c r="U43" s="182"/>
      <c r="V43" s="182"/>
      <c r="W43" s="182"/>
      <c r="X43" s="182"/>
      <c r="Y43" s="182"/>
      <c r="Z43" s="182"/>
    </row>
    <row r="44" spans="2:26" s="145" customFormat="1" ht="18" x14ac:dyDescent="0.25">
      <c r="T44" s="182"/>
      <c r="U44" s="182"/>
      <c r="V44" s="182"/>
      <c r="W44" s="182"/>
      <c r="X44" s="182"/>
      <c r="Y44" s="182"/>
      <c r="Z44" s="182"/>
    </row>
    <row r="45" spans="2:26" s="145" customFormat="1" ht="18" x14ac:dyDescent="0.25">
      <c r="T45" s="182"/>
      <c r="U45" s="182"/>
      <c r="V45" s="182"/>
      <c r="W45" s="182"/>
      <c r="X45" s="182"/>
      <c r="Y45" s="182"/>
      <c r="Z45" s="182"/>
    </row>
  </sheetData>
  <sheetProtection selectLockedCells="1"/>
  <mergeCells count="48">
    <mergeCell ref="B39:Q39"/>
    <mergeCell ref="C33:D33"/>
    <mergeCell ref="B36:Q36"/>
    <mergeCell ref="B37:Q37"/>
    <mergeCell ref="B38:Q38"/>
    <mergeCell ref="C17:D17"/>
    <mergeCell ref="E17:K17"/>
    <mergeCell ref="C18:D18"/>
    <mergeCell ref="E18:K18"/>
    <mergeCell ref="M30:Q30"/>
    <mergeCell ref="E27:K27"/>
    <mergeCell ref="C27:D27"/>
    <mergeCell ref="C19:D19"/>
    <mergeCell ref="E19:K19"/>
    <mergeCell ref="C20:D20"/>
    <mergeCell ref="E20:K20"/>
    <mergeCell ref="E21:K21"/>
    <mergeCell ref="E22:K22"/>
    <mergeCell ref="B25:Q25"/>
    <mergeCell ref="C26:D26"/>
    <mergeCell ref="E26:K26"/>
    <mergeCell ref="Q13:Q15"/>
    <mergeCell ref="C16:D16"/>
    <mergeCell ref="E16:K16"/>
    <mergeCell ref="B11:C11"/>
    <mergeCell ref="D11:F11"/>
    <mergeCell ref="G11:K11"/>
    <mergeCell ref="L11:Q11"/>
    <mergeCell ref="B13:B15"/>
    <mergeCell ref="C13:D15"/>
    <mergeCell ref="E13:K15"/>
    <mergeCell ref="D5:O5"/>
    <mergeCell ref="L13:L15"/>
    <mergeCell ref="M13:M15"/>
    <mergeCell ref="N13:N15"/>
    <mergeCell ref="P13:P15"/>
    <mergeCell ref="O13:O15"/>
    <mergeCell ref="D6:O6"/>
    <mergeCell ref="B10:C10"/>
    <mergeCell ref="D10:F10"/>
    <mergeCell ref="G10:K10"/>
    <mergeCell ref="L10:Q10"/>
    <mergeCell ref="B9:Q9"/>
    <mergeCell ref="B1:D1"/>
    <mergeCell ref="K1:Q1"/>
    <mergeCell ref="B2:D2"/>
    <mergeCell ref="K2:Q2"/>
    <mergeCell ref="D4:O4"/>
  </mergeCells>
  <pageMargins left="0.70866141732283472" right="0.70866141732283472" top="0.62" bottom="0.74803149606299213" header="0.31496062992125984" footer="0.31496062992125984"/>
  <pageSetup paperSize="9"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50"/>
  <sheetViews>
    <sheetView showGridLines="0" zoomScale="80" zoomScaleNormal="80" workbookViewId="0"/>
  </sheetViews>
  <sheetFormatPr baseColWidth="10" defaultColWidth="11.42578125" defaultRowHeight="14.25" x14ac:dyDescent="0.25"/>
  <cols>
    <col min="1" max="1" width="11.42578125" style="108"/>
    <col min="2" max="2" width="10.7109375" style="108" customWidth="1"/>
    <col min="3" max="3" width="11.42578125" style="108"/>
    <col min="4" max="4" width="16.28515625" style="108" customWidth="1"/>
    <col min="5" max="5" width="18.42578125" style="108" customWidth="1"/>
    <col min="6" max="7" width="11.42578125" style="108"/>
    <col min="8" max="8" width="20.5703125" style="108" customWidth="1"/>
    <col min="9" max="9" width="8" style="108" customWidth="1"/>
    <col min="10" max="10" width="19.42578125" style="108" customWidth="1"/>
    <col min="11" max="11" width="8.7109375" style="108" customWidth="1"/>
    <col min="12" max="12" width="12.42578125" style="108" customWidth="1"/>
    <col min="13" max="13" width="11.42578125" style="108"/>
    <col min="14" max="14" width="11.42578125" style="108" hidden="1" customWidth="1"/>
    <col min="15" max="15" width="15.42578125" style="108" hidden="1" customWidth="1"/>
    <col min="16" max="16" width="17.7109375" style="108" hidden="1" customWidth="1"/>
    <col min="17" max="17" width="255.7109375" style="108" hidden="1" customWidth="1"/>
    <col min="18" max="18" width="2.42578125" style="108" hidden="1" customWidth="1"/>
    <col min="19" max="19" width="255.7109375" style="108" hidden="1" customWidth="1"/>
    <col min="20" max="35" width="11.42578125" style="108" hidden="1" customWidth="1"/>
    <col min="36" max="36" width="0" style="108" hidden="1" customWidth="1"/>
    <col min="37" max="16384" width="11.42578125" style="108"/>
  </cols>
  <sheetData>
    <row r="1" spans="2:19" ht="18" x14ac:dyDescent="0.25">
      <c r="C1" s="148" t="s">
        <v>105</v>
      </c>
      <c r="D1" s="145"/>
      <c r="E1" s="145"/>
      <c r="F1" s="145"/>
      <c r="G1" s="148" t="s">
        <v>106</v>
      </c>
      <c r="H1" s="145"/>
      <c r="I1" s="145"/>
      <c r="J1" s="145"/>
      <c r="K1" s="145"/>
      <c r="L1" s="148" t="s">
        <v>107</v>
      </c>
    </row>
    <row r="2" spans="2:19" x14ac:dyDescent="0.25">
      <c r="B2" s="149"/>
    </row>
    <row r="3" spans="2:19" ht="33.75" customHeight="1" x14ac:dyDescent="0.25">
      <c r="C3" s="408" t="s">
        <v>108</v>
      </c>
      <c r="D3" s="408"/>
      <c r="E3" s="408"/>
      <c r="F3" s="408"/>
      <c r="G3" s="408"/>
      <c r="H3" s="408"/>
      <c r="I3" s="408"/>
      <c r="J3" s="408"/>
      <c r="K3" s="408"/>
      <c r="L3" s="408"/>
      <c r="M3" s="150"/>
    </row>
    <row r="4" spans="2:19" ht="2.25" customHeight="1" x14ac:dyDescent="0.25">
      <c r="B4" s="149"/>
    </row>
    <row r="5" spans="2:19" ht="18" x14ac:dyDescent="0.25">
      <c r="C5" s="409" t="s">
        <v>109</v>
      </c>
      <c r="D5" s="409"/>
      <c r="E5" s="409"/>
      <c r="F5" s="409"/>
      <c r="G5" s="409"/>
      <c r="H5" s="409"/>
      <c r="I5" s="409"/>
      <c r="J5" s="409"/>
      <c r="K5" s="409"/>
      <c r="L5" s="409"/>
      <c r="M5" s="148"/>
    </row>
    <row r="6" spans="2:19" ht="18" x14ac:dyDescent="0.25">
      <c r="C6" s="409" t="s">
        <v>110</v>
      </c>
      <c r="D6" s="409"/>
      <c r="E6" s="409"/>
      <c r="F6" s="409"/>
      <c r="G6" s="409"/>
      <c r="H6" s="409"/>
      <c r="I6" s="409"/>
      <c r="J6" s="409"/>
      <c r="K6" s="409"/>
      <c r="L6" s="409"/>
      <c r="M6" s="148"/>
    </row>
    <row r="7" spans="2:19" x14ac:dyDescent="0.25">
      <c r="B7" s="151"/>
    </row>
    <row r="8" spans="2:19" ht="15" thickBot="1" x14ac:dyDescent="0.3">
      <c r="B8" s="151"/>
    </row>
    <row r="9" spans="2:19" ht="39" customHeight="1" thickBot="1" x14ac:dyDescent="0.3">
      <c r="C9" s="410" t="s">
        <v>224</v>
      </c>
      <c r="D9" s="411"/>
      <c r="E9" s="411"/>
      <c r="F9" s="411"/>
      <c r="G9" s="411"/>
      <c r="H9" s="411"/>
      <c r="I9" s="411"/>
      <c r="J9" s="411"/>
      <c r="K9" s="411"/>
      <c r="L9" s="412"/>
    </row>
    <row r="10" spans="2:19" x14ac:dyDescent="0.25">
      <c r="B10" s="151"/>
    </row>
    <row r="11" spans="2:19" ht="12.75" customHeight="1" x14ac:dyDescent="0.25">
      <c r="B11" s="151"/>
    </row>
    <row r="12" spans="2:19" ht="27.75" x14ac:dyDescent="0.25">
      <c r="C12" s="413" t="s">
        <v>111</v>
      </c>
      <c r="D12" s="413"/>
      <c r="E12" s="413"/>
      <c r="F12" s="413"/>
      <c r="G12" s="413"/>
      <c r="H12" s="413"/>
      <c r="I12" s="413"/>
      <c r="J12" s="413"/>
      <c r="K12" s="413"/>
      <c r="L12" s="413"/>
    </row>
    <row r="13" spans="2:19" ht="15" customHeight="1" x14ac:dyDescent="0.25">
      <c r="B13" s="149"/>
    </row>
    <row r="14" spans="2:19" ht="24" customHeight="1" x14ac:dyDescent="0.25">
      <c r="D14" s="152"/>
      <c r="E14" s="152"/>
      <c r="F14" s="405" t="s">
        <v>112</v>
      </c>
      <c r="G14" s="406"/>
      <c r="H14" s="407"/>
      <c r="I14" s="153"/>
      <c r="J14" s="152"/>
      <c r="K14" s="152"/>
      <c r="L14" s="152"/>
      <c r="M14" s="154"/>
    </row>
    <row r="15" spans="2:19" ht="27.75" x14ac:dyDescent="0.25">
      <c r="B15" s="155"/>
      <c r="D15" s="156"/>
      <c r="E15" s="156"/>
      <c r="F15" s="418" t="str">
        <f>IF(P17="","",P17)</f>
        <v/>
      </c>
      <c r="G15" s="413"/>
      <c r="H15" s="419"/>
      <c r="I15" s="189"/>
      <c r="J15" s="156"/>
      <c r="K15" s="156"/>
      <c r="L15" s="156"/>
    </row>
    <row r="16" spans="2:19" ht="12" customHeight="1" x14ac:dyDescent="0.25">
      <c r="F16" s="420"/>
      <c r="G16" s="421"/>
      <c r="H16" s="422"/>
      <c r="I16" s="189"/>
      <c r="R16" s="108" t="s">
        <v>20</v>
      </c>
      <c r="S16" s="193" t="s">
        <v>370</v>
      </c>
    </row>
    <row r="17" spans="2:30" ht="28.5" customHeight="1" x14ac:dyDescent="0.25">
      <c r="B17" s="149"/>
      <c r="O17" s="108" t="str">
        <f>IF(Tirage!H5="","",Tirage!H5)</f>
        <v/>
      </c>
      <c r="P17" s="108" t="str">
        <f>IF(O17="","",VLOOKUP(O17,Tirage!Q29:R30,2,FALSE))</f>
        <v/>
      </c>
      <c r="Q17" s="108" t="str">
        <f>IF(P17="","",VLOOKUP(P17,Tirage!A25:C26,2,FALSE))</f>
        <v/>
      </c>
      <c r="R17" s="108" t="s">
        <v>21</v>
      </c>
      <c r="S17" s="108" t="s">
        <v>113</v>
      </c>
      <c r="T17" s="194"/>
      <c r="U17" s="194"/>
      <c r="V17" s="194"/>
      <c r="W17" s="194"/>
      <c r="X17" s="194"/>
      <c r="Y17" s="194"/>
      <c r="Z17" s="194"/>
      <c r="AA17" s="194"/>
      <c r="AB17" s="195"/>
    </row>
    <row r="18" spans="2:30" ht="27.75" customHeight="1" x14ac:dyDescent="0.25">
      <c r="B18" s="149"/>
      <c r="R18" s="108" t="s">
        <v>22</v>
      </c>
      <c r="S18" s="108" t="s">
        <v>114</v>
      </c>
    </row>
    <row r="19" spans="2:30" ht="23.25" customHeight="1" x14ac:dyDescent="0.25">
      <c r="C19" s="423" t="s">
        <v>115</v>
      </c>
      <c r="D19" s="424"/>
      <c r="E19" s="425" t="str">
        <f>IF(Tirage!H6="","",Tirage!H6)</f>
        <v/>
      </c>
      <c r="F19" s="425"/>
      <c r="G19" s="157"/>
      <c r="H19" s="158" t="s">
        <v>116</v>
      </c>
      <c r="I19" s="425" t="str">
        <f>IF(Tirage!H7="","",Tirage!H7)</f>
        <v/>
      </c>
      <c r="J19" s="425"/>
      <c r="K19" s="425"/>
      <c r="L19" s="159"/>
    </row>
    <row r="20" spans="2:30" ht="27.75" customHeight="1" x14ac:dyDescent="0.25">
      <c r="C20" s="426" t="s">
        <v>117</v>
      </c>
      <c r="D20" s="427"/>
      <c r="E20" s="428"/>
      <c r="F20" s="428"/>
      <c r="G20" s="145"/>
      <c r="H20" s="160" t="s">
        <v>118</v>
      </c>
      <c r="I20" s="429"/>
      <c r="J20" s="429"/>
      <c r="K20" s="429"/>
      <c r="L20" s="161"/>
    </row>
    <row r="21" spans="2:30" x14ac:dyDescent="0.25">
      <c r="B21" s="149"/>
      <c r="C21" s="162"/>
      <c r="D21" s="163"/>
      <c r="E21" s="163"/>
      <c r="F21" s="163"/>
      <c r="G21" s="163"/>
      <c r="H21" s="163"/>
      <c r="I21" s="163"/>
      <c r="J21" s="163"/>
      <c r="K21" s="163"/>
      <c r="L21" s="164"/>
    </row>
    <row r="22" spans="2:30" ht="34.5" customHeight="1" x14ac:dyDescent="0.25">
      <c r="B22" s="149"/>
    </row>
    <row r="23" spans="2:30" ht="30" customHeight="1" x14ac:dyDescent="0.25">
      <c r="C23" s="430" t="s">
        <v>119</v>
      </c>
      <c r="D23" s="431"/>
      <c r="E23" s="431"/>
      <c r="F23" s="432" t="e">
        <f>IF('Feuille de résultat'!C16="","",'Feuille de résultat'!C16)</f>
        <v>#N/A</v>
      </c>
      <c r="G23" s="432"/>
      <c r="H23" s="432"/>
      <c r="I23" s="432"/>
      <c r="J23" s="158" t="s">
        <v>120</v>
      </c>
      <c r="K23" s="433" t="e">
        <f>IF('Feuille de résultat'!E16="","",'Feuille de résultat'!E16)</f>
        <v>#N/A</v>
      </c>
      <c r="L23" s="434"/>
      <c r="R23" s="108" t="s">
        <v>96</v>
      </c>
      <c r="S23" s="392">
        <v>0</v>
      </c>
      <c r="T23" s="392"/>
      <c r="U23" s="392"/>
      <c r="V23" s="392"/>
      <c r="W23" s="392"/>
      <c r="X23" s="392"/>
      <c r="Y23" s="392"/>
      <c r="Z23" s="108" t="s">
        <v>96</v>
      </c>
      <c r="AA23" s="108" t="s">
        <v>96</v>
      </c>
      <c r="AB23" s="108" t="s">
        <v>96</v>
      </c>
      <c r="AC23" s="108">
        <v>0</v>
      </c>
      <c r="AD23" s="108">
        <v>0</v>
      </c>
    </row>
    <row r="24" spans="2:30" ht="28.5" customHeight="1" x14ac:dyDescent="0.25">
      <c r="B24" s="165"/>
      <c r="C24" s="414" t="s">
        <v>369</v>
      </c>
      <c r="D24" s="415"/>
      <c r="E24" s="416"/>
      <c r="F24" s="416"/>
      <c r="G24" s="416"/>
      <c r="H24" s="416"/>
      <c r="I24" s="416"/>
      <c r="J24" s="416"/>
      <c r="K24" s="416"/>
      <c r="L24" s="417"/>
      <c r="R24" s="108" t="s">
        <v>96</v>
      </c>
      <c r="S24" s="392">
        <v>0</v>
      </c>
      <c r="T24" s="392"/>
      <c r="U24" s="392"/>
      <c r="V24" s="392"/>
      <c r="W24" s="392"/>
      <c r="X24" s="392"/>
      <c r="Y24" s="392"/>
      <c r="Z24" s="108" t="s">
        <v>96</v>
      </c>
      <c r="AA24" s="108" t="s">
        <v>96</v>
      </c>
      <c r="AB24" s="108" t="s">
        <v>96</v>
      </c>
      <c r="AC24" s="108">
        <v>0</v>
      </c>
      <c r="AD24" s="108">
        <v>0</v>
      </c>
    </row>
    <row r="25" spans="2:30" ht="31.5" customHeight="1" x14ac:dyDescent="0.25">
      <c r="C25" s="166" t="s">
        <v>121</v>
      </c>
      <c r="D25" s="445"/>
      <c r="E25" s="445"/>
      <c r="F25" s="445"/>
      <c r="G25" s="445"/>
      <c r="H25" s="445"/>
      <c r="I25" s="437" t="s">
        <v>122</v>
      </c>
      <c r="J25" s="437"/>
      <c r="K25" s="435" t="str">
        <f>IF('Feuille de résultat'!O16="","",'Feuille de résultat'!O16)</f>
        <v/>
      </c>
      <c r="L25" s="436"/>
      <c r="R25" s="108" t="s">
        <v>96</v>
      </c>
      <c r="S25" s="392">
        <v>0</v>
      </c>
      <c r="T25" s="392"/>
      <c r="U25" s="392"/>
      <c r="V25" s="392"/>
      <c r="W25" s="392"/>
      <c r="X25" s="392"/>
      <c r="Y25" s="392"/>
      <c r="Z25" s="108" t="s">
        <v>96</v>
      </c>
      <c r="AA25" s="108" t="s">
        <v>96</v>
      </c>
      <c r="AB25" s="108" t="s">
        <v>96</v>
      </c>
      <c r="AC25" s="108">
        <v>0</v>
      </c>
      <c r="AD25" s="108">
        <v>0</v>
      </c>
    </row>
    <row r="26" spans="2:30" ht="15" customHeight="1" x14ac:dyDescent="0.25">
      <c r="B26" s="165"/>
      <c r="C26" s="167"/>
      <c r="D26" s="168"/>
      <c r="E26" s="168"/>
      <c r="F26" s="168"/>
      <c r="G26" s="168"/>
      <c r="H26" s="168"/>
      <c r="I26" s="168"/>
      <c r="J26" s="168"/>
      <c r="K26" s="168"/>
      <c r="L26" s="169"/>
      <c r="R26" s="108" t="s">
        <v>96</v>
      </c>
      <c r="S26" s="392">
        <v>0</v>
      </c>
      <c r="T26" s="392"/>
      <c r="U26" s="392"/>
      <c r="V26" s="392"/>
      <c r="W26" s="392"/>
      <c r="X26" s="392"/>
      <c r="Y26" s="392"/>
      <c r="Z26" s="108" t="s">
        <v>96</v>
      </c>
      <c r="AA26" s="108" t="s">
        <v>96</v>
      </c>
      <c r="AB26" s="108" t="s">
        <v>96</v>
      </c>
      <c r="AC26" s="108">
        <v>0</v>
      </c>
      <c r="AD26" s="108">
        <v>0</v>
      </c>
    </row>
    <row r="27" spans="2:30" ht="15" x14ac:dyDescent="0.25"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R27" s="108" t="s">
        <v>96</v>
      </c>
      <c r="S27" s="392">
        <v>0</v>
      </c>
      <c r="T27" s="392"/>
      <c r="U27" s="392"/>
      <c r="V27" s="392"/>
      <c r="W27" s="392"/>
      <c r="X27" s="392"/>
      <c r="Y27" s="392"/>
      <c r="Z27" s="108" t="s">
        <v>96</v>
      </c>
      <c r="AA27" s="108" t="s">
        <v>96</v>
      </c>
      <c r="AB27" s="108" t="s">
        <v>96</v>
      </c>
      <c r="AC27" s="108">
        <v>0</v>
      </c>
      <c r="AD27" s="108">
        <v>0</v>
      </c>
    </row>
    <row r="28" spans="2:30" ht="30" customHeight="1" x14ac:dyDescent="0.25">
      <c r="B28" s="171"/>
      <c r="C28" s="430" t="s">
        <v>123</v>
      </c>
      <c r="D28" s="431"/>
      <c r="E28" s="431"/>
      <c r="F28" s="444" t="e">
        <f>IF('Feuille de résultat'!C17="","",'Feuille de résultat'!C17)</f>
        <v>#N/A</v>
      </c>
      <c r="G28" s="444"/>
      <c r="H28" s="444"/>
      <c r="I28" s="444"/>
      <c r="J28" s="158" t="s">
        <v>120</v>
      </c>
      <c r="K28" s="433" t="e">
        <f>IF('Feuille de résultat'!E17="","",'Feuille de résultat'!E17)</f>
        <v>#N/A</v>
      </c>
      <c r="L28" s="434"/>
      <c r="R28" s="108" t="s">
        <v>96</v>
      </c>
      <c r="S28" s="392">
        <v>0</v>
      </c>
      <c r="T28" s="392"/>
      <c r="U28" s="392"/>
      <c r="V28" s="392"/>
      <c r="W28" s="392"/>
      <c r="X28" s="392"/>
      <c r="Y28" s="392"/>
      <c r="Z28" s="108" t="s">
        <v>96</v>
      </c>
      <c r="AA28" s="108" t="s">
        <v>96</v>
      </c>
      <c r="AB28" s="108" t="s">
        <v>96</v>
      </c>
      <c r="AC28" s="108">
        <v>0</v>
      </c>
      <c r="AD28" s="108">
        <v>0</v>
      </c>
    </row>
    <row r="29" spans="2:30" ht="30" customHeight="1" x14ac:dyDescent="0.25">
      <c r="B29" s="165"/>
      <c r="C29" s="414" t="s">
        <v>369</v>
      </c>
      <c r="D29" s="415"/>
      <c r="E29" s="416"/>
      <c r="F29" s="416"/>
      <c r="G29" s="416"/>
      <c r="H29" s="416"/>
      <c r="I29" s="416"/>
      <c r="J29" s="416"/>
      <c r="K29" s="416"/>
      <c r="L29" s="417"/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8">
        <v>0</v>
      </c>
      <c r="Y29" s="108">
        <v>0</v>
      </c>
      <c r="Z29" s="108">
        <v>0</v>
      </c>
      <c r="AA29" s="108">
        <v>0</v>
      </c>
      <c r="AB29" s="108">
        <v>0</v>
      </c>
      <c r="AC29" s="108">
        <v>0</v>
      </c>
      <c r="AD29" s="108">
        <v>0</v>
      </c>
    </row>
    <row r="30" spans="2:30" ht="30" customHeight="1" x14ac:dyDescent="0.25">
      <c r="B30" s="172"/>
      <c r="C30" s="173" t="s">
        <v>124</v>
      </c>
      <c r="D30" s="445"/>
      <c r="E30" s="445"/>
      <c r="F30" s="445"/>
      <c r="G30" s="445"/>
      <c r="H30" s="445"/>
      <c r="I30" s="437" t="s">
        <v>122</v>
      </c>
      <c r="J30" s="437"/>
      <c r="K30" s="435" t="str">
        <f>IF('Feuille de résultat'!O17="","",'Feuille de résultat'!O17)</f>
        <v/>
      </c>
      <c r="L30" s="436"/>
    </row>
    <row r="31" spans="2:30" ht="15" x14ac:dyDescent="0.25">
      <c r="B31" s="165"/>
      <c r="C31" s="167"/>
      <c r="D31" s="168"/>
      <c r="E31" s="168"/>
      <c r="F31" s="168"/>
      <c r="G31" s="168"/>
      <c r="H31" s="168"/>
      <c r="I31" s="168"/>
      <c r="J31" s="168"/>
      <c r="K31" s="168"/>
      <c r="L31" s="169"/>
    </row>
    <row r="32" spans="2:30" ht="28.5" customHeight="1" x14ac:dyDescent="0.25">
      <c r="B32" s="174"/>
    </row>
    <row r="33" spans="2:13" x14ac:dyDescent="0.25">
      <c r="B33" s="149"/>
      <c r="C33" s="175"/>
      <c r="D33" s="176"/>
      <c r="E33" s="176"/>
      <c r="F33" s="176"/>
      <c r="G33" s="176"/>
      <c r="H33" s="177"/>
      <c r="I33" s="178"/>
      <c r="J33" s="176"/>
      <c r="K33" s="176"/>
      <c r="L33" s="159"/>
    </row>
    <row r="34" spans="2:13" ht="15.75" customHeight="1" x14ac:dyDescent="0.25">
      <c r="C34" s="179" t="s">
        <v>125</v>
      </c>
      <c r="D34" s="459"/>
      <c r="E34" s="459"/>
      <c r="F34" s="160" t="s">
        <v>126</v>
      </c>
      <c r="G34" s="454"/>
      <c r="H34" s="455"/>
      <c r="I34" s="446" t="s">
        <v>127</v>
      </c>
      <c r="J34" s="447"/>
      <c r="K34" s="447"/>
      <c r="L34" s="448"/>
    </row>
    <row r="35" spans="2:13" ht="21.75" customHeight="1" x14ac:dyDescent="0.25">
      <c r="B35" s="165"/>
      <c r="C35" s="460" t="s">
        <v>128</v>
      </c>
      <c r="D35" s="461"/>
      <c r="E35" s="461"/>
      <c r="F35" s="461"/>
      <c r="G35" s="461"/>
      <c r="H35" s="180"/>
      <c r="I35" s="446"/>
      <c r="J35" s="447"/>
      <c r="K35" s="447"/>
      <c r="L35" s="448"/>
    </row>
    <row r="36" spans="2:13" ht="30" customHeight="1" x14ac:dyDescent="0.25">
      <c r="B36" s="165"/>
      <c r="C36" s="462" t="str">
        <f>IF('Feuille de résultat'!M30="","",'Feuille de résultat'!M30)</f>
        <v/>
      </c>
      <c r="D36" s="463"/>
      <c r="E36" s="463"/>
      <c r="F36" s="463"/>
      <c r="G36" s="463"/>
      <c r="H36" s="180"/>
      <c r="I36" s="181"/>
      <c r="J36" s="447"/>
      <c r="K36" s="447"/>
      <c r="L36" s="448"/>
    </row>
    <row r="37" spans="2:13" ht="26.25" customHeight="1" x14ac:dyDescent="0.25">
      <c r="C37" s="464"/>
      <c r="D37" s="465"/>
      <c r="E37" s="465"/>
      <c r="F37" s="465"/>
      <c r="G37" s="145"/>
      <c r="H37" s="180"/>
      <c r="I37" s="181"/>
      <c r="J37" s="447"/>
      <c r="K37" s="447"/>
      <c r="L37" s="448"/>
    </row>
    <row r="38" spans="2:13" ht="18" customHeight="1" x14ac:dyDescent="0.25">
      <c r="B38" s="165"/>
      <c r="C38" s="183"/>
      <c r="D38" s="144" t="s">
        <v>129</v>
      </c>
      <c r="E38" s="145"/>
      <c r="F38" s="145"/>
      <c r="G38" s="145"/>
      <c r="H38" s="180"/>
      <c r="I38" s="446" t="s">
        <v>130</v>
      </c>
      <c r="J38" s="447"/>
      <c r="K38" s="447"/>
      <c r="L38" s="448"/>
    </row>
    <row r="39" spans="2:13" ht="54" customHeight="1" x14ac:dyDescent="0.25">
      <c r="B39" s="165"/>
      <c r="C39" s="184"/>
      <c r="H39" s="180"/>
      <c r="I39" s="181"/>
      <c r="L39" s="161"/>
    </row>
    <row r="40" spans="2:13" x14ac:dyDescent="0.25">
      <c r="C40" s="185"/>
      <c r="D40" s="163"/>
      <c r="E40" s="163"/>
      <c r="F40" s="163"/>
      <c r="G40" s="163"/>
      <c r="H40" s="186"/>
      <c r="I40" s="187"/>
      <c r="J40" s="163"/>
      <c r="K40" s="163"/>
      <c r="L40" s="164"/>
    </row>
    <row r="41" spans="2:13" x14ac:dyDescent="0.25">
      <c r="B41" s="165"/>
      <c r="C41" s="188"/>
    </row>
    <row r="42" spans="2:13" ht="27.75" customHeight="1" x14ac:dyDescent="0.25">
      <c r="B42" s="165"/>
      <c r="C42" s="188"/>
    </row>
    <row r="43" spans="2:13" ht="21" customHeight="1" x14ac:dyDescent="0.25">
      <c r="B43" s="151"/>
      <c r="C43" s="449" t="s">
        <v>371</v>
      </c>
      <c r="D43" s="450"/>
      <c r="E43" s="196"/>
      <c r="F43" s="196"/>
      <c r="G43" s="196"/>
      <c r="H43" s="196"/>
      <c r="I43" s="196"/>
      <c r="J43" s="196"/>
      <c r="K43" s="196"/>
      <c r="L43" s="197"/>
    </row>
    <row r="44" spans="2:13" ht="72" customHeight="1" x14ac:dyDescent="0.25">
      <c r="C44" s="451" t="str">
        <f>IF(Q17="","",Q17)</f>
        <v/>
      </c>
      <c r="D44" s="452"/>
      <c r="E44" s="452"/>
      <c r="F44" s="452"/>
      <c r="G44" s="452"/>
      <c r="H44" s="452"/>
      <c r="I44" s="452"/>
      <c r="J44" s="452"/>
      <c r="K44" s="452"/>
      <c r="L44" s="453"/>
      <c r="M44" s="165"/>
    </row>
    <row r="45" spans="2:13" s="188" customFormat="1" ht="24.95" customHeight="1" x14ac:dyDescent="0.25">
      <c r="C45" s="456" t="s">
        <v>373</v>
      </c>
      <c r="D45" s="457"/>
      <c r="E45" s="457"/>
      <c r="F45" s="457"/>
      <c r="G45" s="457"/>
      <c r="H45" s="457"/>
      <c r="I45" s="457"/>
      <c r="J45" s="457"/>
      <c r="K45" s="457"/>
      <c r="L45" s="458"/>
      <c r="M45" s="165"/>
    </row>
    <row r="46" spans="2:13" ht="24.95" customHeight="1" x14ac:dyDescent="0.25">
      <c r="B46" s="151"/>
      <c r="C46" s="456"/>
      <c r="D46" s="457"/>
      <c r="E46" s="457"/>
      <c r="F46" s="457"/>
      <c r="G46" s="457"/>
      <c r="H46" s="457"/>
      <c r="I46" s="457"/>
      <c r="J46" s="457"/>
      <c r="K46" s="457"/>
      <c r="L46" s="458"/>
    </row>
    <row r="47" spans="2:13" ht="24.95" customHeight="1" x14ac:dyDescent="0.25">
      <c r="B47" s="151"/>
      <c r="C47" s="456"/>
      <c r="D47" s="457"/>
      <c r="E47" s="457"/>
      <c r="F47" s="457"/>
      <c r="G47" s="457"/>
      <c r="H47" s="457"/>
      <c r="I47" s="457"/>
      <c r="J47" s="457"/>
      <c r="K47" s="457"/>
      <c r="L47" s="458"/>
    </row>
    <row r="48" spans="2:13" ht="20.25" customHeight="1" x14ac:dyDescent="0.25">
      <c r="C48" s="438" t="s">
        <v>372</v>
      </c>
      <c r="D48" s="439"/>
      <c r="E48" s="439"/>
      <c r="F48" s="439"/>
      <c r="G48" s="439"/>
      <c r="H48" s="439"/>
      <c r="I48" s="439"/>
      <c r="J48" s="439"/>
      <c r="K48" s="439"/>
      <c r="L48" s="440"/>
    </row>
    <row r="49" spans="3:12" ht="6" customHeight="1" x14ac:dyDescent="0.25">
      <c r="C49" s="438"/>
      <c r="D49" s="439"/>
      <c r="E49" s="439"/>
      <c r="F49" s="439"/>
      <c r="G49" s="439"/>
      <c r="H49" s="439"/>
      <c r="I49" s="439"/>
      <c r="J49" s="439"/>
      <c r="K49" s="439"/>
      <c r="L49" s="440"/>
    </row>
    <row r="50" spans="3:12" x14ac:dyDescent="0.25">
      <c r="C50" s="441"/>
      <c r="D50" s="442"/>
      <c r="E50" s="442"/>
      <c r="F50" s="442"/>
      <c r="G50" s="442"/>
      <c r="H50" s="442"/>
      <c r="I50" s="442"/>
      <c r="J50" s="442"/>
      <c r="K50" s="442"/>
      <c r="L50" s="443"/>
    </row>
  </sheetData>
  <sheetProtection selectLockedCells="1"/>
  <mergeCells count="47">
    <mergeCell ref="I38:L38"/>
    <mergeCell ref="C43:D43"/>
    <mergeCell ref="C44:L44"/>
    <mergeCell ref="G34:H34"/>
    <mergeCell ref="C45:L47"/>
    <mergeCell ref="D34:E34"/>
    <mergeCell ref="I34:L35"/>
    <mergeCell ref="C35:G35"/>
    <mergeCell ref="C36:G36"/>
    <mergeCell ref="J36:L37"/>
    <mergeCell ref="C37:F37"/>
    <mergeCell ref="K25:L25"/>
    <mergeCell ref="I30:J30"/>
    <mergeCell ref="K30:L30"/>
    <mergeCell ref="C48:L50"/>
    <mergeCell ref="S25:Y25"/>
    <mergeCell ref="S26:Y26"/>
    <mergeCell ref="C28:E28"/>
    <mergeCell ref="F28:I28"/>
    <mergeCell ref="K28:L28"/>
    <mergeCell ref="S28:Y28"/>
    <mergeCell ref="S27:Y27"/>
    <mergeCell ref="D25:H25"/>
    <mergeCell ref="I25:J25"/>
    <mergeCell ref="C29:D29"/>
    <mergeCell ref="E29:L29"/>
    <mergeCell ref="D30:H30"/>
    <mergeCell ref="S23:Y23"/>
    <mergeCell ref="C24:D24"/>
    <mergeCell ref="E24:L24"/>
    <mergeCell ref="S24:Y24"/>
    <mergeCell ref="F15:H16"/>
    <mergeCell ref="C19:D19"/>
    <mergeCell ref="E19:F19"/>
    <mergeCell ref="I19:K19"/>
    <mergeCell ref="C20:D20"/>
    <mergeCell ref="E20:F20"/>
    <mergeCell ref="I20:K20"/>
    <mergeCell ref="C23:E23"/>
    <mergeCell ref="F23:I23"/>
    <mergeCell ref="K23:L23"/>
    <mergeCell ref="F14:H14"/>
    <mergeCell ref="C3:L3"/>
    <mergeCell ref="C5:L5"/>
    <mergeCell ref="C6:L6"/>
    <mergeCell ref="C9:L9"/>
    <mergeCell ref="C12:L12"/>
  </mergeCells>
  <printOptions horizontalCentered="1"/>
  <pageMargins left="0.59055118110236227" right="0.43307086614173229" top="0.74803149606299213" bottom="0.74803149606299213" header="0.31496062992125984" footer="0.31496062992125984"/>
  <pageSetup paperSize="9"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5"/>
  <sheetViews>
    <sheetView showGridLines="0" zoomScaleNormal="100" workbookViewId="0">
      <pane ySplit="2" topLeftCell="A3" activePane="bottomLeft" state="frozen"/>
      <selection pane="bottomLeft" sqref="A1:D1"/>
    </sheetView>
  </sheetViews>
  <sheetFormatPr baseColWidth="10" defaultRowHeight="14.25" x14ac:dyDescent="0.25"/>
  <cols>
    <col min="1" max="1" width="20.7109375" style="17" customWidth="1"/>
    <col min="2" max="2" width="35.7109375" style="21" customWidth="1"/>
    <col min="3" max="3" width="40.7109375" style="17" customWidth="1"/>
    <col min="4" max="4" width="20.7109375" style="17" customWidth="1"/>
    <col min="5" max="16384" width="11.42578125" style="17"/>
  </cols>
  <sheetData>
    <row r="1" spans="1:6" ht="30" customHeight="1" x14ac:dyDescent="0.25">
      <c r="A1" s="466" t="s">
        <v>796</v>
      </c>
      <c r="B1" s="467"/>
      <c r="C1" s="467"/>
      <c r="D1" s="468"/>
      <c r="E1" s="469" t="s">
        <v>802</v>
      </c>
      <c r="F1" s="470"/>
    </row>
    <row r="2" spans="1:6" ht="30" customHeight="1" x14ac:dyDescent="0.25">
      <c r="A2" s="323" t="s">
        <v>277</v>
      </c>
      <c r="B2" s="324" t="s">
        <v>76</v>
      </c>
      <c r="C2" s="324" t="s">
        <v>278</v>
      </c>
      <c r="D2" s="325" t="s">
        <v>279</v>
      </c>
      <c r="E2" s="469"/>
      <c r="F2" s="470"/>
    </row>
    <row r="3" spans="1:6" ht="30" customHeight="1" x14ac:dyDescent="0.25">
      <c r="A3" s="18" t="s">
        <v>309</v>
      </c>
      <c r="B3" s="19" t="s">
        <v>527</v>
      </c>
      <c r="C3" s="322" t="s">
        <v>302</v>
      </c>
      <c r="D3" s="322">
        <v>17039</v>
      </c>
      <c r="E3" s="471">
        <v>45924</v>
      </c>
      <c r="F3" s="472"/>
    </row>
    <row r="4" spans="1:6" ht="30" customHeight="1" x14ac:dyDescent="0.25">
      <c r="A4" s="322" t="s">
        <v>182</v>
      </c>
      <c r="B4" s="19" t="s">
        <v>528</v>
      </c>
      <c r="C4" s="322" t="s">
        <v>302</v>
      </c>
      <c r="D4" s="322">
        <v>17039</v>
      </c>
    </row>
    <row r="5" spans="1:6" ht="30" customHeight="1" x14ac:dyDescent="0.25">
      <c r="A5" s="322" t="s">
        <v>329</v>
      </c>
      <c r="B5" s="19" t="s">
        <v>529</v>
      </c>
      <c r="C5" s="322" t="s">
        <v>302</v>
      </c>
      <c r="D5" s="322">
        <v>17039</v>
      </c>
    </row>
    <row r="6" spans="1:6" ht="30" customHeight="1" x14ac:dyDescent="0.25">
      <c r="A6" s="322" t="s">
        <v>275</v>
      </c>
      <c r="B6" s="19" t="s">
        <v>715</v>
      </c>
      <c r="C6" s="322" t="s">
        <v>304</v>
      </c>
      <c r="D6" s="322">
        <v>17041</v>
      </c>
    </row>
    <row r="7" spans="1:6" ht="30" customHeight="1" x14ac:dyDescent="0.25">
      <c r="A7" s="322" t="s">
        <v>164</v>
      </c>
      <c r="B7" s="19" t="s">
        <v>621</v>
      </c>
      <c r="C7" s="322" t="s">
        <v>393</v>
      </c>
      <c r="D7" s="322">
        <v>17035</v>
      </c>
    </row>
    <row r="8" spans="1:6" ht="30" customHeight="1" x14ac:dyDescent="0.25">
      <c r="A8" s="322" t="s">
        <v>421</v>
      </c>
      <c r="B8" s="19" t="s">
        <v>705</v>
      </c>
      <c r="C8" s="322" t="s">
        <v>308</v>
      </c>
      <c r="D8" s="322">
        <v>17037</v>
      </c>
    </row>
    <row r="9" spans="1:6" ht="30" customHeight="1" x14ac:dyDescent="0.25">
      <c r="A9" s="18" t="s">
        <v>645</v>
      </c>
      <c r="B9" s="19" t="s">
        <v>646</v>
      </c>
      <c r="C9" s="322" t="s">
        <v>245</v>
      </c>
      <c r="D9" s="322">
        <v>17036</v>
      </c>
    </row>
    <row r="10" spans="1:6" ht="30" customHeight="1" x14ac:dyDescent="0.25">
      <c r="A10" s="322" t="s">
        <v>417</v>
      </c>
      <c r="B10" s="19" t="s">
        <v>515</v>
      </c>
      <c r="C10" s="322" t="s">
        <v>305</v>
      </c>
      <c r="D10" s="322">
        <v>17040</v>
      </c>
    </row>
    <row r="11" spans="1:6" ht="30" customHeight="1" x14ac:dyDescent="0.25">
      <c r="A11" s="18" t="s">
        <v>530</v>
      </c>
      <c r="B11" s="19" t="s">
        <v>531</v>
      </c>
      <c r="C11" s="322" t="s">
        <v>302</v>
      </c>
      <c r="D11" s="322">
        <v>17039</v>
      </c>
    </row>
    <row r="12" spans="1:6" ht="30" customHeight="1" x14ac:dyDescent="0.25">
      <c r="A12" s="322" t="s">
        <v>395</v>
      </c>
      <c r="B12" s="19" t="s">
        <v>647</v>
      </c>
      <c r="C12" s="322" t="s">
        <v>245</v>
      </c>
      <c r="D12" s="322">
        <v>17036</v>
      </c>
    </row>
    <row r="13" spans="1:6" ht="30" customHeight="1" x14ac:dyDescent="0.25">
      <c r="A13" s="18" t="s">
        <v>268</v>
      </c>
      <c r="B13" s="19" t="s">
        <v>648</v>
      </c>
      <c r="C13" s="322" t="s">
        <v>245</v>
      </c>
      <c r="D13" s="322">
        <v>17036</v>
      </c>
    </row>
    <row r="14" spans="1:6" ht="30" customHeight="1" x14ac:dyDescent="0.25">
      <c r="A14" s="322" t="s">
        <v>330</v>
      </c>
      <c r="B14" s="19" t="s">
        <v>649</v>
      </c>
      <c r="C14" s="322" t="s">
        <v>245</v>
      </c>
      <c r="D14" s="322">
        <v>17036</v>
      </c>
    </row>
    <row r="15" spans="1:6" ht="30" customHeight="1" x14ac:dyDescent="0.25">
      <c r="A15" s="322" t="s">
        <v>310</v>
      </c>
      <c r="B15" s="19" t="s">
        <v>650</v>
      </c>
      <c r="C15" s="322" t="s">
        <v>245</v>
      </c>
      <c r="D15" s="322">
        <v>17036</v>
      </c>
    </row>
    <row r="16" spans="1:6" ht="30" customHeight="1" x14ac:dyDescent="0.25">
      <c r="A16" s="18" t="s">
        <v>273</v>
      </c>
      <c r="B16" s="19" t="s">
        <v>651</v>
      </c>
      <c r="C16" s="322" t="s">
        <v>245</v>
      </c>
      <c r="D16" s="322">
        <v>17036</v>
      </c>
    </row>
    <row r="17" spans="1:4" ht="30" customHeight="1" x14ac:dyDescent="0.25">
      <c r="A17" s="18" t="s">
        <v>652</v>
      </c>
      <c r="B17" s="19" t="s">
        <v>653</v>
      </c>
      <c r="C17" s="322" t="s">
        <v>245</v>
      </c>
      <c r="D17" s="322">
        <v>17036</v>
      </c>
    </row>
    <row r="18" spans="1:4" ht="30" customHeight="1" x14ac:dyDescent="0.25">
      <c r="A18" s="322" t="s">
        <v>274</v>
      </c>
      <c r="B18" s="19" t="s">
        <v>654</v>
      </c>
      <c r="C18" s="322" t="s">
        <v>245</v>
      </c>
      <c r="D18" s="322">
        <v>17036</v>
      </c>
    </row>
    <row r="19" spans="1:4" ht="30" customHeight="1" x14ac:dyDescent="0.25">
      <c r="A19" s="322" t="s">
        <v>272</v>
      </c>
      <c r="B19" s="19" t="s">
        <v>655</v>
      </c>
      <c r="C19" s="322" t="s">
        <v>245</v>
      </c>
      <c r="D19" s="322">
        <v>17036</v>
      </c>
    </row>
    <row r="20" spans="1:4" ht="30" customHeight="1" x14ac:dyDescent="0.25">
      <c r="A20" s="322" t="s">
        <v>180</v>
      </c>
      <c r="B20" s="19" t="s">
        <v>656</v>
      </c>
      <c r="C20" s="322" t="s">
        <v>245</v>
      </c>
      <c r="D20" s="322">
        <v>17036</v>
      </c>
    </row>
    <row r="21" spans="1:4" ht="30" customHeight="1" x14ac:dyDescent="0.25">
      <c r="A21" s="322" t="s">
        <v>400</v>
      </c>
      <c r="B21" s="19" t="s">
        <v>716</v>
      </c>
      <c r="C21" s="322" t="s">
        <v>304</v>
      </c>
      <c r="D21" s="322">
        <v>17041</v>
      </c>
    </row>
    <row r="22" spans="1:4" ht="30" customHeight="1" x14ac:dyDescent="0.25">
      <c r="A22" s="18" t="s">
        <v>166</v>
      </c>
      <c r="B22" s="19" t="s">
        <v>622</v>
      </c>
      <c r="C22" s="322" t="s">
        <v>393</v>
      </c>
      <c r="D22" s="322">
        <v>17035</v>
      </c>
    </row>
    <row r="23" spans="1:4" ht="30" customHeight="1" x14ac:dyDescent="0.25">
      <c r="A23" s="322" t="s">
        <v>384</v>
      </c>
      <c r="B23" s="19" t="s">
        <v>532</v>
      </c>
      <c r="C23" s="322" t="s">
        <v>302</v>
      </c>
      <c r="D23" s="322">
        <v>17039</v>
      </c>
    </row>
    <row r="24" spans="1:4" ht="30" customHeight="1" x14ac:dyDescent="0.25">
      <c r="A24" s="18" t="s">
        <v>265</v>
      </c>
      <c r="B24" s="19" t="s">
        <v>657</v>
      </c>
      <c r="C24" s="322" t="s">
        <v>245</v>
      </c>
      <c r="D24" s="322">
        <v>17036</v>
      </c>
    </row>
    <row r="25" spans="1:4" ht="30" customHeight="1" x14ac:dyDescent="0.25">
      <c r="A25" s="322" t="s">
        <v>266</v>
      </c>
      <c r="B25" s="19" t="s">
        <v>658</v>
      </c>
      <c r="C25" s="322" t="s">
        <v>245</v>
      </c>
      <c r="D25" s="322">
        <v>17036</v>
      </c>
    </row>
    <row r="26" spans="1:4" ht="30" customHeight="1" x14ac:dyDescent="0.25">
      <c r="A26" s="18" t="s">
        <v>197</v>
      </c>
      <c r="B26" s="19" t="s">
        <v>597</v>
      </c>
      <c r="C26" s="322" t="s">
        <v>307</v>
      </c>
      <c r="D26" s="322">
        <v>17031</v>
      </c>
    </row>
    <row r="27" spans="1:4" ht="30" customHeight="1" x14ac:dyDescent="0.25">
      <c r="A27" s="18" t="s">
        <v>200</v>
      </c>
      <c r="B27" s="19" t="s">
        <v>779</v>
      </c>
      <c r="C27" s="322" t="s">
        <v>393</v>
      </c>
      <c r="D27" s="322">
        <v>17035</v>
      </c>
    </row>
    <row r="28" spans="1:4" ht="30" customHeight="1" x14ac:dyDescent="0.25">
      <c r="A28" s="18" t="s">
        <v>359</v>
      </c>
      <c r="B28" s="19" t="s">
        <v>598</v>
      </c>
      <c r="C28" s="322" t="s">
        <v>307</v>
      </c>
      <c r="D28" s="322">
        <v>17031</v>
      </c>
    </row>
    <row r="29" spans="1:4" ht="30" customHeight="1" x14ac:dyDescent="0.25">
      <c r="A29" s="322" t="s">
        <v>311</v>
      </c>
      <c r="B29" s="19" t="s">
        <v>599</v>
      </c>
      <c r="C29" s="322" t="s">
        <v>307</v>
      </c>
      <c r="D29" s="322">
        <v>17031</v>
      </c>
    </row>
    <row r="30" spans="1:4" ht="30" customHeight="1" x14ac:dyDescent="0.25">
      <c r="A30" s="18" t="s">
        <v>623</v>
      </c>
      <c r="B30" s="19" t="s">
        <v>624</v>
      </c>
      <c r="C30" s="322" t="s">
        <v>393</v>
      </c>
      <c r="D30" s="322">
        <v>17035</v>
      </c>
    </row>
    <row r="31" spans="1:4" ht="30" customHeight="1" x14ac:dyDescent="0.25">
      <c r="A31" s="18" t="s">
        <v>396</v>
      </c>
      <c r="B31" s="19" t="s">
        <v>659</v>
      </c>
      <c r="C31" s="322" t="s">
        <v>245</v>
      </c>
      <c r="D31" s="322">
        <v>17036</v>
      </c>
    </row>
    <row r="32" spans="1:4" ht="30" customHeight="1" x14ac:dyDescent="0.25">
      <c r="A32" s="18" t="s">
        <v>459</v>
      </c>
      <c r="B32" s="19" t="s">
        <v>460</v>
      </c>
      <c r="C32" s="322" t="s">
        <v>303</v>
      </c>
      <c r="D32" s="322">
        <v>17030</v>
      </c>
    </row>
    <row r="33" spans="1:4" ht="30" customHeight="1" x14ac:dyDescent="0.25">
      <c r="A33" s="18" t="s">
        <v>660</v>
      </c>
      <c r="B33" s="19" t="s">
        <v>661</v>
      </c>
      <c r="C33" s="322" t="s">
        <v>245</v>
      </c>
      <c r="D33" s="322">
        <v>17036</v>
      </c>
    </row>
    <row r="34" spans="1:4" ht="30" customHeight="1" x14ac:dyDescent="0.25">
      <c r="A34" s="18" t="s">
        <v>194</v>
      </c>
      <c r="B34" s="19" t="s">
        <v>533</v>
      </c>
      <c r="C34" s="322" t="s">
        <v>302</v>
      </c>
      <c r="D34" s="322">
        <v>17039</v>
      </c>
    </row>
    <row r="35" spans="1:4" ht="30" customHeight="1" x14ac:dyDescent="0.25">
      <c r="A35" s="322" t="s">
        <v>331</v>
      </c>
      <c r="B35" s="19" t="s">
        <v>625</v>
      </c>
      <c r="C35" s="322" t="s">
        <v>393</v>
      </c>
      <c r="D35" s="322">
        <v>17035</v>
      </c>
    </row>
    <row r="36" spans="1:4" ht="30" customHeight="1" x14ac:dyDescent="0.25">
      <c r="A36" s="18" t="s">
        <v>147</v>
      </c>
      <c r="B36" s="19" t="s">
        <v>600</v>
      </c>
      <c r="C36" s="322" t="s">
        <v>307</v>
      </c>
      <c r="D36" s="322">
        <v>17031</v>
      </c>
    </row>
    <row r="37" spans="1:4" ht="30" customHeight="1" x14ac:dyDescent="0.25">
      <c r="A37" s="322" t="s">
        <v>325</v>
      </c>
      <c r="B37" s="19" t="s">
        <v>601</v>
      </c>
      <c r="C37" s="322" t="s">
        <v>307</v>
      </c>
      <c r="D37" s="322">
        <v>17031</v>
      </c>
    </row>
    <row r="38" spans="1:4" ht="30" customHeight="1" x14ac:dyDescent="0.25">
      <c r="A38" s="18" t="s">
        <v>422</v>
      </c>
      <c r="B38" s="19" t="s">
        <v>516</v>
      </c>
      <c r="C38" s="322" t="s">
        <v>305</v>
      </c>
      <c r="D38" s="322">
        <v>17040</v>
      </c>
    </row>
    <row r="39" spans="1:4" ht="30" customHeight="1" x14ac:dyDescent="0.25">
      <c r="A39" s="18" t="s">
        <v>192</v>
      </c>
      <c r="B39" s="19" t="s">
        <v>425</v>
      </c>
      <c r="C39" s="322" t="s">
        <v>246</v>
      </c>
      <c r="D39" s="322">
        <v>17026</v>
      </c>
    </row>
    <row r="40" spans="1:4" ht="30" customHeight="1" x14ac:dyDescent="0.25">
      <c r="A40" s="18" t="s">
        <v>760</v>
      </c>
      <c r="B40" s="19" t="s">
        <v>761</v>
      </c>
      <c r="C40" s="322" t="s">
        <v>303</v>
      </c>
      <c r="D40" s="322">
        <v>17030</v>
      </c>
    </row>
    <row r="41" spans="1:4" ht="30" customHeight="1" x14ac:dyDescent="0.25">
      <c r="A41" s="322" t="s">
        <v>534</v>
      </c>
      <c r="B41" s="19" t="s">
        <v>535</v>
      </c>
      <c r="C41" s="322" t="s">
        <v>302</v>
      </c>
      <c r="D41" s="322">
        <v>17039</v>
      </c>
    </row>
    <row r="42" spans="1:4" ht="30" customHeight="1" x14ac:dyDescent="0.25">
      <c r="A42" s="18" t="s">
        <v>312</v>
      </c>
      <c r="B42" s="19" t="s">
        <v>662</v>
      </c>
      <c r="C42" s="322" t="s">
        <v>245</v>
      </c>
      <c r="D42" s="322">
        <v>17036</v>
      </c>
    </row>
    <row r="43" spans="1:4" ht="30" customHeight="1" x14ac:dyDescent="0.25">
      <c r="A43" s="322" t="s">
        <v>174</v>
      </c>
      <c r="B43" s="19" t="s">
        <v>626</v>
      </c>
      <c r="C43" s="322" t="s">
        <v>393</v>
      </c>
      <c r="D43" s="322">
        <v>17035</v>
      </c>
    </row>
    <row r="44" spans="1:4" ht="30" customHeight="1" x14ac:dyDescent="0.25">
      <c r="A44" s="322" t="s">
        <v>249</v>
      </c>
      <c r="B44" s="19" t="s">
        <v>663</v>
      </c>
      <c r="C44" s="322" t="s">
        <v>245</v>
      </c>
      <c r="D44" s="322">
        <v>17036</v>
      </c>
    </row>
    <row r="45" spans="1:4" ht="30" customHeight="1" x14ac:dyDescent="0.25">
      <c r="A45" s="18" t="s">
        <v>360</v>
      </c>
      <c r="B45" s="19" t="s">
        <v>602</v>
      </c>
      <c r="C45" s="322" t="s">
        <v>307</v>
      </c>
      <c r="D45" s="322">
        <v>17031</v>
      </c>
    </row>
    <row r="46" spans="1:4" ht="30" customHeight="1" x14ac:dyDescent="0.25">
      <c r="A46" s="18" t="s">
        <v>145</v>
      </c>
      <c r="B46" s="19" t="s">
        <v>536</v>
      </c>
      <c r="C46" s="322" t="s">
        <v>302</v>
      </c>
      <c r="D46" s="322">
        <v>17039</v>
      </c>
    </row>
    <row r="47" spans="1:4" ht="30" customHeight="1" x14ac:dyDescent="0.25">
      <c r="A47" s="322" t="s">
        <v>762</v>
      </c>
      <c r="B47" s="19" t="s">
        <v>763</v>
      </c>
      <c r="C47" s="322" t="s">
        <v>306</v>
      </c>
      <c r="D47" s="322">
        <v>17045</v>
      </c>
    </row>
    <row r="48" spans="1:4" ht="30" customHeight="1" x14ac:dyDescent="0.25">
      <c r="A48" s="322" t="s">
        <v>201</v>
      </c>
      <c r="B48" s="19" t="s">
        <v>426</v>
      </c>
      <c r="C48" s="322" t="s">
        <v>246</v>
      </c>
      <c r="D48" s="322">
        <v>17026</v>
      </c>
    </row>
    <row r="49" spans="1:4" ht="30" customHeight="1" x14ac:dyDescent="0.25">
      <c r="A49" s="322" t="s">
        <v>271</v>
      </c>
      <c r="B49" s="19" t="s">
        <v>461</v>
      </c>
      <c r="C49" s="322" t="s">
        <v>303</v>
      </c>
      <c r="D49" s="322">
        <v>17030</v>
      </c>
    </row>
    <row r="50" spans="1:4" ht="30" customHeight="1" x14ac:dyDescent="0.25">
      <c r="A50" s="18" t="s">
        <v>208</v>
      </c>
      <c r="B50" s="19" t="s">
        <v>664</v>
      </c>
      <c r="C50" s="322" t="s">
        <v>245</v>
      </c>
      <c r="D50" s="322">
        <v>17036</v>
      </c>
    </row>
    <row r="51" spans="1:4" ht="30" customHeight="1" x14ac:dyDescent="0.25">
      <c r="A51" s="18" t="s">
        <v>332</v>
      </c>
      <c r="B51" s="19" t="s">
        <v>665</v>
      </c>
      <c r="C51" s="322" t="s">
        <v>245</v>
      </c>
      <c r="D51" s="322">
        <v>17036</v>
      </c>
    </row>
    <row r="52" spans="1:4" ht="30" customHeight="1" x14ac:dyDescent="0.25">
      <c r="A52" s="322" t="s">
        <v>427</v>
      </c>
      <c r="B52" s="19" t="s">
        <v>428</v>
      </c>
      <c r="C52" s="322" t="s">
        <v>246</v>
      </c>
      <c r="D52" s="322">
        <v>17026</v>
      </c>
    </row>
    <row r="53" spans="1:4" ht="30" customHeight="1" x14ac:dyDescent="0.25">
      <c r="A53" s="18" t="s">
        <v>280</v>
      </c>
      <c r="B53" s="19" t="s">
        <v>666</v>
      </c>
      <c r="C53" s="322" t="s">
        <v>245</v>
      </c>
      <c r="D53" s="322">
        <v>17036</v>
      </c>
    </row>
    <row r="54" spans="1:4" ht="30" customHeight="1" x14ac:dyDescent="0.25">
      <c r="A54" s="18" t="s">
        <v>771</v>
      </c>
      <c r="B54" s="19" t="s">
        <v>772</v>
      </c>
      <c r="C54" s="322" t="s">
        <v>305</v>
      </c>
      <c r="D54" s="322">
        <v>17040</v>
      </c>
    </row>
    <row r="55" spans="1:4" ht="30" customHeight="1" x14ac:dyDescent="0.25">
      <c r="A55" s="18" t="s">
        <v>667</v>
      </c>
      <c r="B55" s="19" t="s">
        <v>668</v>
      </c>
      <c r="C55" s="322" t="s">
        <v>245</v>
      </c>
      <c r="D55" s="322">
        <v>17036</v>
      </c>
    </row>
    <row r="56" spans="1:4" ht="30" customHeight="1" x14ac:dyDescent="0.25">
      <c r="A56" s="322" t="s">
        <v>333</v>
      </c>
      <c r="B56" s="19" t="s">
        <v>537</v>
      </c>
      <c r="C56" s="322" t="s">
        <v>302</v>
      </c>
      <c r="D56" s="322">
        <v>17039</v>
      </c>
    </row>
    <row r="57" spans="1:4" ht="30" customHeight="1" x14ac:dyDescent="0.25">
      <c r="A57" s="322" t="s">
        <v>773</v>
      </c>
      <c r="B57" s="19" t="s">
        <v>774</v>
      </c>
      <c r="C57" s="322" t="s">
        <v>308</v>
      </c>
      <c r="D57" s="322">
        <v>17037</v>
      </c>
    </row>
    <row r="58" spans="1:4" ht="30" customHeight="1" x14ac:dyDescent="0.25">
      <c r="A58" s="18" t="s">
        <v>781</v>
      </c>
      <c r="B58" s="19" t="s">
        <v>538</v>
      </c>
      <c r="C58" s="322" t="s">
        <v>302</v>
      </c>
      <c r="D58" s="322">
        <v>17039</v>
      </c>
    </row>
    <row r="59" spans="1:4" ht="30" customHeight="1" x14ac:dyDescent="0.25">
      <c r="A59" s="18" t="s">
        <v>416</v>
      </c>
      <c r="B59" s="19" t="s">
        <v>603</v>
      </c>
      <c r="C59" s="322" t="s">
        <v>393</v>
      </c>
      <c r="D59" s="322">
        <v>17035</v>
      </c>
    </row>
    <row r="60" spans="1:4" ht="30" customHeight="1" x14ac:dyDescent="0.25">
      <c r="A60" s="18" t="s">
        <v>313</v>
      </c>
      <c r="B60" s="19" t="s">
        <v>669</v>
      </c>
      <c r="C60" s="322" t="s">
        <v>245</v>
      </c>
      <c r="D60" s="322">
        <v>17036</v>
      </c>
    </row>
    <row r="61" spans="1:4" ht="30" customHeight="1" x14ac:dyDescent="0.25">
      <c r="A61" s="322" t="s">
        <v>314</v>
      </c>
      <c r="B61" s="19" t="s">
        <v>462</v>
      </c>
      <c r="C61" s="322" t="s">
        <v>303</v>
      </c>
      <c r="D61" s="322">
        <v>17030</v>
      </c>
    </row>
    <row r="62" spans="1:4" ht="30" customHeight="1" x14ac:dyDescent="0.25">
      <c r="A62" s="322" t="s">
        <v>189</v>
      </c>
      <c r="B62" s="19" t="s">
        <v>717</v>
      </c>
      <c r="C62" s="322" t="s">
        <v>304</v>
      </c>
      <c r="D62" s="322">
        <v>17041</v>
      </c>
    </row>
    <row r="63" spans="1:4" ht="30" customHeight="1" x14ac:dyDescent="0.25">
      <c r="A63" s="18" t="s">
        <v>175</v>
      </c>
      <c r="B63" s="19" t="s">
        <v>463</v>
      </c>
      <c r="C63" s="322" t="s">
        <v>303</v>
      </c>
      <c r="D63" s="322">
        <v>17030</v>
      </c>
    </row>
    <row r="64" spans="1:4" ht="30" customHeight="1" x14ac:dyDescent="0.25">
      <c r="A64" s="18" t="s">
        <v>464</v>
      </c>
      <c r="B64" s="19" t="s">
        <v>465</v>
      </c>
      <c r="C64" s="322" t="s">
        <v>303</v>
      </c>
      <c r="D64" s="322">
        <v>17030</v>
      </c>
    </row>
    <row r="65" spans="1:4" ht="30" customHeight="1" x14ac:dyDescent="0.25">
      <c r="A65" s="18" t="s">
        <v>466</v>
      </c>
      <c r="B65" s="19" t="s">
        <v>467</v>
      </c>
      <c r="C65" s="322" t="s">
        <v>303</v>
      </c>
      <c r="D65" s="322">
        <v>17030</v>
      </c>
    </row>
    <row r="66" spans="1:4" ht="30" customHeight="1" x14ac:dyDescent="0.25">
      <c r="A66" s="18" t="s">
        <v>281</v>
      </c>
      <c r="B66" s="19" t="s">
        <v>429</v>
      </c>
      <c r="C66" s="322" t="s">
        <v>246</v>
      </c>
      <c r="D66" s="322">
        <v>17026</v>
      </c>
    </row>
    <row r="67" spans="1:4" ht="30" customHeight="1" x14ac:dyDescent="0.25">
      <c r="A67" s="322" t="s">
        <v>187</v>
      </c>
      <c r="B67" s="19" t="s">
        <v>718</v>
      </c>
      <c r="C67" s="322" t="s">
        <v>304</v>
      </c>
      <c r="D67" s="322">
        <v>17041</v>
      </c>
    </row>
    <row r="68" spans="1:4" ht="30" customHeight="1" x14ac:dyDescent="0.25">
      <c r="A68" s="18" t="s">
        <v>251</v>
      </c>
      <c r="B68" s="19" t="s">
        <v>539</v>
      </c>
      <c r="C68" s="322" t="s">
        <v>302</v>
      </c>
      <c r="D68" s="322">
        <v>17039</v>
      </c>
    </row>
    <row r="69" spans="1:4" ht="30" customHeight="1" x14ac:dyDescent="0.25">
      <c r="A69" s="322" t="s">
        <v>334</v>
      </c>
      <c r="B69" s="19" t="s">
        <v>719</v>
      </c>
      <c r="C69" s="322" t="s">
        <v>304</v>
      </c>
      <c r="D69" s="322">
        <v>17041</v>
      </c>
    </row>
    <row r="70" spans="1:4" ht="30" customHeight="1" x14ac:dyDescent="0.25">
      <c r="A70" s="322" t="s">
        <v>335</v>
      </c>
      <c r="B70" s="19" t="s">
        <v>670</v>
      </c>
      <c r="C70" s="322" t="s">
        <v>245</v>
      </c>
      <c r="D70" s="322">
        <v>17036</v>
      </c>
    </row>
    <row r="71" spans="1:4" ht="30" customHeight="1" x14ac:dyDescent="0.25">
      <c r="A71" s="322" t="s">
        <v>540</v>
      </c>
      <c r="B71" s="19" t="s">
        <v>541</v>
      </c>
      <c r="C71" s="322" t="s">
        <v>302</v>
      </c>
      <c r="D71" s="322">
        <v>17039</v>
      </c>
    </row>
    <row r="72" spans="1:4" ht="30" customHeight="1" x14ac:dyDescent="0.25">
      <c r="A72" s="18" t="s">
        <v>137</v>
      </c>
      <c r="B72" s="19" t="s">
        <v>627</v>
      </c>
      <c r="C72" s="322" t="s">
        <v>393</v>
      </c>
      <c r="D72" s="322">
        <v>17035</v>
      </c>
    </row>
    <row r="73" spans="1:4" ht="30" customHeight="1" x14ac:dyDescent="0.25">
      <c r="A73" s="18" t="s">
        <v>671</v>
      </c>
      <c r="B73" s="19" t="s">
        <v>672</v>
      </c>
      <c r="C73" s="322" t="s">
        <v>245</v>
      </c>
      <c r="D73" s="322">
        <v>17036</v>
      </c>
    </row>
    <row r="74" spans="1:4" ht="30" customHeight="1" x14ac:dyDescent="0.25">
      <c r="A74" s="18" t="s">
        <v>673</v>
      </c>
      <c r="B74" s="19" t="s">
        <v>674</v>
      </c>
      <c r="C74" s="322" t="s">
        <v>245</v>
      </c>
      <c r="D74" s="322">
        <v>17036</v>
      </c>
    </row>
    <row r="75" spans="1:4" ht="30" customHeight="1" x14ac:dyDescent="0.25">
      <c r="A75" s="18" t="s">
        <v>282</v>
      </c>
      <c r="B75" s="19" t="s">
        <v>706</v>
      </c>
      <c r="C75" s="322" t="s">
        <v>308</v>
      </c>
      <c r="D75" s="322">
        <v>17037</v>
      </c>
    </row>
    <row r="76" spans="1:4" ht="30" customHeight="1" x14ac:dyDescent="0.25">
      <c r="A76" s="322" t="s">
        <v>283</v>
      </c>
      <c r="B76" s="19" t="s">
        <v>574</v>
      </c>
      <c r="C76" s="322" t="s">
        <v>306</v>
      </c>
      <c r="D76" s="322">
        <v>17045</v>
      </c>
    </row>
    <row r="77" spans="1:4" ht="30" customHeight="1" x14ac:dyDescent="0.25">
      <c r="A77" s="322" t="s">
        <v>259</v>
      </c>
      <c r="B77" s="19" t="s">
        <v>517</v>
      </c>
      <c r="C77" s="322" t="s">
        <v>305</v>
      </c>
      <c r="D77" s="322">
        <v>17040</v>
      </c>
    </row>
    <row r="78" spans="1:4" ht="30" customHeight="1" x14ac:dyDescent="0.25">
      <c r="A78" s="18" t="s">
        <v>220</v>
      </c>
      <c r="B78" s="19" t="s">
        <v>518</v>
      </c>
      <c r="C78" s="322" t="s">
        <v>305</v>
      </c>
      <c r="D78" s="322">
        <v>17040</v>
      </c>
    </row>
    <row r="79" spans="1:4" ht="30" customHeight="1" x14ac:dyDescent="0.25">
      <c r="A79" s="322" t="s">
        <v>575</v>
      </c>
      <c r="B79" s="19" t="s">
        <v>576</v>
      </c>
      <c r="C79" s="322" t="s">
        <v>306</v>
      </c>
      <c r="D79" s="322">
        <v>17045</v>
      </c>
    </row>
    <row r="80" spans="1:4" ht="30" customHeight="1" x14ac:dyDescent="0.25">
      <c r="A80" s="18" t="s">
        <v>161</v>
      </c>
      <c r="B80" s="19" t="s">
        <v>430</v>
      </c>
      <c r="C80" s="322" t="s">
        <v>246</v>
      </c>
      <c r="D80" s="322">
        <v>17026</v>
      </c>
    </row>
    <row r="81" spans="1:4" ht="30" customHeight="1" x14ac:dyDescent="0.25">
      <c r="A81" s="322" t="s">
        <v>468</v>
      </c>
      <c r="B81" s="19" t="s">
        <v>469</v>
      </c>
      <c r="C81" s="322" t="s">
        <v>303</v>
      </c>
      <c r="D81" s="322">
        <v>17030</v>
      </c>
    </row>
    <row r="82" spans="1:4" ht="30" customHeight="1" x14ac:dyDescent="0.25">
      <c r="A82" s="18" t="s">
        <v>374</v>
      </c>
      <c r="B82" s="19" t="s">
        <v>431</v>
      </c>
      <c r="C82" s="322" t="s">
        <v>246</v>
      </c>
      <c r="D82" s="322">
        <v>17026</v>
      </c>
    </row>
    <row r="83" spans="1:4" ht="30" customHeight="1" x14ac:dyDescent="0.25">
      <c r="A83" s="18" t="s">
        <v>357</v>
      </c>
      <c r="B83" s="19" t="s">
        <v>432</v>
      </c>
      <c r="C83" s="322" t="s">
        <v>246</v>
      </c>
      <c r="D83" s="322">
        <v>17026</v>
      </c>
    </row>
    <row r="84" spans="1:4" ht="30" customHeight="1" x14ac:dyDescent="0.25">
      <c r="A84" s="18" t="s">
        <v>160</v>
      </c>
      <c r="B84" s="19" t="s">
        <v>542</v>
      </c>
      <c r="C84" s="322" t="s">
        <v>302</v>
      </c>
      <c r="D84" s="322">
        <v>17039</v>
      </c>
    </row>
    <row r="85" spans="1:4" ht="30" customHeight="1" x14ac:dyDescent="0.25">
      <c r="A85" s="18" t="s">
        <v>797</v>
      </c>
      <c r="B85" s="19" t="s">
        <v>798</v>
      </c>
      <c r="C85" s="322" t="s">
        <v>303</v>
      </c>
      <c r="D85" s="322">
        <v>17030</v>
      </c>
    </row>
    <row r="86" spans="1:4" ht="30" customHeight="1" x14ac:dyDescent="0.25">
      <c r="A86" s="18" t="s">
        <v>470</v>
      </c>
      <c r="B86" s="19" t="s">
        <v>471</v>
      </c>
      <c r="C86" s="322" t="s">
        <v>303</v>
      </c>
      <c r="D86" s="322">
        <v>17030</v>
      </c>
    </row>
    <row r="87" spans="1:4" ht="30" customHeight="1" x14ac:dyDescent="0.25">
      <c r="A87" s="322" t="s">
        <v>162</v>
      </c>
      <c r="B87" s="19" t="s">
        <v>604</v>
      </c>
      <c r="C87" s="322" t="s">
        <v>307</v>
      </c>
      <c r="D87" s="322">
        <v>17031</v>
      </c>
    </row>
    <row r="88" spans="1:4" ht="30" customHeight="1" x14ac:dyDescent="0.25">
      <c r="A88" s="322" t="s">
        <v>472</v>
      </c>
      <c r="B88" s="19" t="s">
        <v>473</v>
      </c>
      <c r="C88" s="322" t="s">
        <v>303</v>
      </c>
      <c r="D88" s="322">
        <v>17030</v>
      </c>
    </row>
    <row r="89" spans="1:4" ht="30" customHeight="1" x14ac:dyDescent="0.25">
      <c r="A89" s="322" t="s">
        <v>186</v>
      </c>
      <c r="B89" s="19" t="s">
        <v>543</v>
      </c>
      <c r="C89" s="322" t="s">
        <v>302</v>
      </c>
      <c r="D89" s="322">
        <v>17039</v>
      </c>
    </row>
    <row r="90" spans="1:4" ht="30" customHeight="1" x14ac:dyDescent="0.25">
      <c r="A90" s="322" t="s">
        <v>397</v>
      </c>
      <c r="B90" s="19" t="s">
        <v>675</v>
      </c>
      <c r="C90" s="322" t="s">
        <v>245</v>
      </c>
      <c r="D90" s="322">
        <v>17036</v>
      </c>
    </row>
    <row r="91" spans="1:4" ht="30" customHeight="1" x14ac:dyDescent="0.25">
      <c r="A91" s="18" t="s">
        <v>401</v>
      </c>
      <c r="B91" s="19" t="s">
        <v>720</v>
      </c>
      <c r="C91" s="322" t="s">
        <v>304</v>
      </c>
      <c r="D91" s="322">
        <v>17041</v>
      </c>
    </row>
    <row r="92" spans="1:4" ht="30" customHeight="1" x14ac:dyDescent="0.25">
      <c r="A92" s="18" t="s">
        <v>284</v>
      </c>
      <c r="B92" s="19" t="s">
        <v>721</v>
      </c>
      <c r="C92" s="322" t="s">
        <v>304</v>
      </c>
      <c r="D92" s="322">
        <v>17041</v>
      </c>
    </row>
    <row r="93" spans="1:4" ht="30" customHeight="1" x14ac:dyDescent="0.25">
      <c r="A93" s="322" t="s">
        <v>577</v>
      </c>
      <c r="B93" s="19" t="s">
        <v>578</v>
      </c>
      <c r="C93" s="322" t="s">
        <v>306</v>
      </c>
      <c r="D93" s="322">
        <v>17045</v>
      </c>
    </row>
    <row r="94" spans="1:4" ht="30" customHeight="1" x14ac:dyDescent="0.25">
      <c r="A94" s="18" t="s">
        <v>219</v>
      </c>
      <c r="B94" s="19" t="s">
        <v>628</v>
      </c>
      <c r="C94" s="322" t="s">
        <v>393</v>
      </c>
      <c r="D94" s="322">
        <v>17035</v>
      </c>
    </row>
    <row r="95" spans="1:4" ht="30" customHeight="1" x14ac:dyDescent="0.25">
      <c r="A95" s="18" t="s">
        <v>285</v>
      </c>
      <c r="B95" s="19" t="s">
        <v>544</v>
      </c>
      <c r="C95" s="322" t="s">
        <v>302</v>
      </c>
      <c r="D95" s="322">
        <v>17039</v>
      </c>
    </row>
    <row r="96" spans="1:4" ht="30" customHeight="1" x14ac:dyDescent="0.25">
      <c r="A96" s="322" t="s">
        <v>545</v>
      </c>
      <c r="B96" s="19" t="s">
        <v>546</v>
      </c>
      <c r="C96" s="322" t="s">
        <v>302</v>
      </c>
      <c r="D96" s="322">
        <v>17039</v>
      </c>
    </row>
    <row r="97" spans="1:4" ht="30" customHeight="1" x14ac:dyDescent="0.25">
      <c r="A97" s="18" t="s">
        <v>214</v>
      </c>
      <c r="B97" s="19" t="s">
        <v>519</v>
      </c>
      <c r="C97" s="322" t="s">
        <v>305</v>
      </c>
      <c r="D97" s="322">
        <v>17040</v>
      </c>
    </row>
    <row r="98" spans="1:4" ht="30" customHeight="1" x14ac:dyDescent="0.25">
      <c r="A98" s="18" t="s">
        <v>179</v>
      </c>
      <c r="B98" s="19" t="s">
        <v>676</v>
      </c>
      <c r="C98" s="322" t="s">
        <v>245</v>
      </c>
      <c r="D98" s="322">
        <v>17036</v>
      </c>
    </row>
    <row r="99" spans="1:4" ht="30" customHeight="1" x14ac:dyDescent="0.25">
      <c r="A99" s="18" t="s">
        <v>211</v>
      </c>
      <c r="B99" s="19" t="s">
        <v>433</v>
      </c>
      <c r="C99" s="322" t="s">
        <v>246</v>
      </c>
      <c r="D99" s="322">
        <v>17026</v>
      </c>
    </row>
    <row r="100" spans="1:4" ht="30" customHeight="1" x14ac:dyDescent="0.25">
      <c r="A100" s="18" t="s">
        <v>181</v>
      </c>
      <c r="B100" s="19" t="s">
        <v>677</v>
      </c>
      <c r="C100" s="322" t="s">
        <v>245</v>
      </c>
      <c r="D100" s="322">
        <v>17036</v>
      </c>
    </row>
    <row r="101" spans="1:4" ht="30" customHeight="1" x14ac:dyDescent="0.25">
      <c r="A101" s="18" t="s">
        <v>402</v>
      </c>
      <c r="B101" s="19" t="s">
        <v>722</v>
      </c>
      <c r="C101" s="322" t="s">
        <v>304</v>
      </c>
      <c r="D101" s="322">
        <v>17041</v>
      </c>
    </row>
    <row r="102" spans="1:4" ht="30" customHeight="1" x14ac:dyDescent="0.25">
      <c r="A102" s="18" t="s">
        <v>678</v>
      </c>
      <c r="B102" s="19" t="s">
        <v>679</v>
      </c>
      <c r="C102" s="322" t="s">
        <v>245</v>
      </c>
      <c r="D102" s="322">
        <v>17036</v>
      </c>
    </row>
    <row r="103" spans="1:4" ht="30" customHeight="1" x14ac:dyDescent="0.25">
      <c r="A103" s="18" t="s">
        <v>196</v>
      </c>
      <c r="B103" s="19" t="s">
        <v>782</v>
      </c>
      <c r="C103" s="322" t="s">
        <v>302</v>
      </c>
      <c r="D103" s="322">
        <v>17039</v>
      </c>
    </row>
    <row r="104" spans="1:4" ht="30" customHeight="1" x14ac:dyDescent="0.25">
      <c r="A104" s="322" t="s">
        <v>723</v>
      </c>
      <c r="B104" s="19" t="s">
        <v>724</v>
      </c>
      <c r="C104" s="322" t="s">
        <v>304</v>
      </c>
      <c r="D104" s="322">
        <v>17041</v>
      </c>
    </row>
    <row r="105" spans="1:4" ht="30" customHeight="1" x14ac:dyDescent="0.25">
      <c r="A105" s="322" t="s">
        <v>264</v>
      </c>
      <c r="B105" s="19" t="s">
        <v>680</v>
      </c>
      <c r="C105" s="322" t="s">
        <v>245</v>
      </c>
      <c r="D105" s="322">
        <v>17036</v>
      </c>
    </row>
    <row r="106" spans="1:4" ht="30" customHeight="1" x14ac:dyDescent="0.25">
      <c r="A106" s="18" t="s">
        <v>204</v>
      </c>
      <c r="B106" s="19" t="s">
        <v>434</v>
      </c>
      <c r="C106" s="322" t="s">
        <v>246</v>
      </c>
      <c r="D106" s="322">
        <v>17026</v>
      </c>
    </row>
    <row r="107" spans="1:4" ht="30" customHeight="1" x14ac:dyDescent="0.25">
      <c r="A107" s="18" t="s">
        <v>218</v>
      </c>
      <c r="B107" s="198" t="s">
        <v>707</v>
      </c>
      <c r="C107" s="322" t="s">
        <v>308</v>
      </c>
      <c r="D107" s="322">
        <v>17037</v>
      </c>
    </row>
    <row r="108" spans="1:4" ht="30" customHeight="1" x14ac:dyDescent="0.25">
      <c r="A108" s="322" t="s">
        <v>262</v>
      </c>
      <c r="B108" s="19" t="s">
        <v>547</v>
      </c>
      <c r="C108" s="322" t="s">
        <v>302</v>
      </c>
      <c r="D108" s="322">
        <v>17039</v>
      </c>
    </row>
    <row r="109" spans="1:4" ht="30" customHeight="1" x14ac:dyDescent="0.25">
      <c r="A109" s="18" t="s">
        <v>148</v>
      </c>
      <c r="B109" s="19" t="s">
        <v>725</v>
      </c>
      <c r="C109" s="322" t="s">
        <v>304</v>
      </c>
      <c r="D109" s="322">
        <v>17041</v>
      </c>
    </row>
    <row r="110" spans="1:4" ht="30" customHeight="1" x14ac:dyDescent="0.25">
      <c r="A110" s="18" t="s">
        <v>173</v>
      </c>
      <c r="B110" s="19" t="s">
        <v>605</v>
      </c>
      <c r="C110" s="322" t="s">
        <v>307</v>
      </c>
      <c r="D110" s="322">
        <v>17031</v>
      </c>
    </row>
    <row r="111" spans="1:4" ht="30" customHeight="1" x14ac:dyDescent="0.25">
      <c r="A111" s="18" t="s">
        <v>185</v>
      </c>
      <c r="B111" s="19" t="s">
        <v>520</v>
      </c>
      <c r="C111" s="322" t="s">
        <v>305</v>
      </c>
      <c r="D111" s="322">
        <v>17040</v>
      </c>
    </row>
    <row r="112" spans="1:4" ht="30" customHeight="1" x14ac:dyDescent="0.25">
      <c r="A112" s="322" t="s">
        <v>263</v>
      </c>
      <c r="B112" s="19" t="s">
        <v>708</v>
      </c>
      <c r="C112" s="322" t="s">
        <v>308</v>
      </c>
      <c r="D112" s="322">
        <v>17037</v>
      </c>
    </row>
    <row r="113" spans="1:4" ht="30" customHeight="1" x14ac:dyDescent="0.25">
      <c r="A113" s="18" t="s">
        <v>170</v>
      </c>
      <c r="B113" s="19" t="s">
        <v>606</v>
      </c>
      <c r="C113" s="322" t="s">
        <v>307</v>
      </c>
      <c r="D113" s="322">
        <v>17031</v>
      </c>
    </row>
    <row r="114" spans="1:4" ht="30" customHeight="1" x14ac:dyDescent="0.25">
      <c r="A114" s="322" t="s">
        <v>764</v>
      </c>
      <c r="B114" s="19" t="s">
        <v>765</v>
      </c>
      <c r="C114" s="322" t="s">
        <v>393</v>
      </c>
      <c r="D114" s="322">
        <v>17035</v>
      </c>
    </row>
    <row r="115" spans="1:4" ht="30" customHeight="1" x14ac:dyDescent="0.25">
      <c r="A115" s="322" t="s">
        <v>415</v>
      </c>
      <c r="B115" s="19" t="s">
        <v>521</v>
      </c>
      <c r="C115" s="322" t="s">
        <v>393</v>
      </c>
      <c r="D115" s="322">
        <v>17025</v>
      </c>
    </row>
    <row r="116" spans="1:4" ht="30" customHeight="1" x14ac:dyDescent="0.25">
      <c r="A116" s="18" t="s">
        <v>681</v>
      </c>
      <c r="B116" s="19" t="s">
        <v>682</v>
      </c>
      <c r="C116" s="322" t="s">
        <v>245</v>
      </c>
      <c r="D116" s="322">
        <v>17036</v>
      </c>
    </row>
    <row r="117" spans="1:4" ht="30" customHeight="1" x14ac:dyDescent="0.25">
      <c r="A117" s="18" t="s">
        <v>250</v>
      </c>
      <c r="B117" s="19" t="s">
        <v>474</v>
      </c>
      <c r="C117" s="322" t="s">
        <v>303</v>
      </c>
      <c r="D117" s="322">
        <v>17030</v>
      </c>
    </row>
    <row r="118" spans="1:4" ht="30" customHeight="1" x14ac:dyDescent="0.25">
      <c r="A118" s="18" t="s">
        <v>213</v>
      </c>
      <c r="B118" s="19" t="s">
        <v>629</v>
      </c>
      <c r="C118" s="322" t="s">
        <v>393</v>
      </c>
      <c r="D118" s="322">
        <v>17035</v>
      </c>
    </row>
    <row r="119" spans="1:4" ht="30" customHeight="1" x14ac:dyDescent="0.25">
      <c r="A119" s="18" t="s">
        <v>286</v>
      </c>
      <c r="B119" s="19" t="s">
        <v>435</v>
      </c>
      <c r="C119" s="322" t="s">
        <v>246</v>
      </c>
      <c r="D119" s="322">
        <v>17026</v>
      </c>
    </row>
    <row r="120" spans="1:4" ht="30" customHeight="1" x14ac:dyDescent="0.25">
      <c r="A120" s="322" t="s">
        <v>255</v>
      </c>
      <c r="B120" s="19" t="s">
        <v>630</v>
      </c>
      <c r="C120" s="322" t="s">
        <v>393</v>
      </c>
      <c r="D120" s="322">
        <v>17035</v>
      </c>
    </row>
    <row r="121" spans="1:4" ht="30" customHeight="1" x14ac:dyDescent="0.25">
      <c r="A121" s="18" t="s">
        <v>183</v>
      </c>
      <c r="B121" s="19" t="s">
        <v>475</v>
      </c>
      <c r="C121" s="322" t="s">
        <v>303</v>
      </c>
      <c r="D121" s="322">
        <v>17030</v>
      </c>
    </row>
    <row r="122" spans="1:4" ht="30" customHeight="1" x14ac:dyDescent="0.25">
      <c r="A122" s="18" t="s">
        <v>336</v>
      </c>
      <c r="B122" s="19" t="s">
        <v>476</v>
      </c>
      <c r="C122" s="322" t="s">
        <v>303</v>
      </c>
      <c r="D122" s="322">
        <v>17030</v>
      </c>
    </row>
    <row r="123" spans="1:4" ht="30" customHeight="1" x14ac:dyDescent="0.25">
      <c r="A123" s="322" t="s">
        <v>403</v>
      </c>
      <c r="B123" s="19" t="s">
        <v>726</v>
      </c>
      <c r="C123" s="322" t="s">
        <v>304</v>
      </c>
      <c r="D123" s="322">
        <v>17041</v>
      </c>
    </row>
    <row r="124" spans="1:4" ht="30" customHeight="1" x14ac:dyDescent="0.25">
      <c r="A124" s="322" t="s">
        <v>337</v>
      </c>
      <c r="B124" s="19" t="s">
        <v>436</v>
      </c>
      <c r="C124" s="322" t="s">
        <v>246</v>
      </c>
      <c r="D124" s="322">
        <v>17026</v>
      </c>
    </row>
    <row r="125" spans="1:4" ht="30" customHeight="1" x14ac:dyDescent="0.25">
      <c r="A125" s="18" t="s">
        <v>153</v>
      </c>
      <c r="B125" s="19" t="s">
        <v>548</v>
      </c>
      <c r="C125" s="322" t="s">
        <v>302</v>
      </c>
      <c r="D125" s="322">
        <v>17039</v>
      </c>
    </row>
    <row r="126" spans="1:4" ht="30" customHeight="1" x14ac:dyDescent="0.25">
      <c r="A126" s="322" t="s">
        <v>338</v>
      </c>
      <c r="B126" s="19" t="s">
        <v>522</v>
      </c>
      <c r="C126" s="322" t="s">
        <v>305</v>
      </c>
      <c r="D126" s="322">
        <v>17040</v>
      </c>
    </row>
    <row r="127" spans="1:4" ht="30" customHeight="1" x14ac:dyDescent="0.25">
      <c r="A127" s="18" t="s">
        <v>404</v>
      </c>
      <c r="B127" s="19" t="s">
        <v>727</v>
      </c>
      <c r="C127" s="322" t="s">
        <v>304</v>
      </c>
      <c r="D127" s="322">
        <v>17041</v>
      </c>
    </row>
    <row r="128" spans="1:4" ht="30" customHeight="1" x14ac:dyDescent="0.25">
      <c r="A128" s="18" t="s">
        <v>155</v>
      </c>
      <c r="B128" s="19" t="s">
        <v>709</v>
      </c>
      <c r="C128" s="322" t="s">
        <v>308</v>
      </c>
      <c r="D128" s="322">
        <v>17037</v>
      </c>
    </row>
    <row r="129" spans="1:4" ht="30" customHeight="1" x14ac:dyDescent="0.25">
      <c r="A129" s="18" t="s">
        <v>579</v>
      </c>
      <c r="B129" s="19" t="s">
        <v>580</v>
      </c>
      <c r="C129" s="322" t="s">
        <v>306</v>
      </c>
      <c r="D129" s="322">
        <v>17045</v>
      </c>
    </row>
    <row r="130" spans="1:4" ht="30" customHeight="1" x14ac:dyDescent="0.25">
      <c r="A130" s="18" t="s">
        <v>157</v>
      </c>
      <c r="B130" s="19" t="s">
        <v>549</v>
      </c>
      <c r="C130" s="322" t="s">
        <v>302</v>
      </c>
      <c r="D130" s="322">
        <v>17039</v>
      </c>
    </row>
    <row r="131" spans="1:4" ht="30" customHeight="1" x14ac:dyDescent="0.25">
      <c r="A131" s="18" t="s">
        <v>248</v>
      </c>
      <c r="B131" s="19" t="s">
        <v>437</v>
      </c>
      <c r="C131" s="322" t="s">
        <v>393</v>
      </c>
      <c r="D131" s="322">
        <v>17035</v>
      </c>
    </row>
    <row r="132" spans="1:4" ht="30" customHeight="1" x14ac:dyDescent="0.25">
      <c r="A132" s="18" t="s">
        <v>315</v>
      </c>
      <c r="B132" s="19" t="s">
        <v>581</v>
      </c>
      <c r="C132" s="322" t="s">
        <v>306</v>
      </c>
      <c r="D132" s="322">
        <v>17045</v>
      </c>
    </row>
    <row r="133" spans="1:4" ht="30" customHeight="1" x14ac:dyDescent="0.25">
      <c r="A133" s="18" t="s">
        <v>775</v>
      </c>
      <c r="B133" s="19" t="s">
        <v>776</v>
      </c>
      <c r="C133" s="322" t="s">
        <v>245</v>
      </c>
      <c r="D133" s="322">
        <v>17036</v>
      </c>
    </row>
    <row r="134" spans="1:4" ht="30" customHeight="1" x14ac:dyDescent="0.25">
      <c r="A134" s="18" t="s">
        <v>167</v>
      </c>
      <c r="B134" s="19" t="s">
        <v>523</v>
      </c>
      <c r="C134" s="322" t="s">
        <v>305</v>
      </c>
      <c r="D134" s="322">
        <v>17040</v>
      </c>
    </row>
    <row r="135" spans="1:4" ht="30" customHeight="1" x14ac:dyDescent="0.25">
      <c r="A135" s="18" t="s">
        <v>438</v>
      </c>
      <c r="B135" s="19" t="s">
        <v>439</v>
      </c>
      <c r="C135" s="322" t="s">
        <v>246</v>
      </c>
      <c r="D135" s="322">
        <v>17026</v>
      </c>
    </row>
    <row r="136" spans="1:4" ht="30" customHeight="1" x14ac:dyDescent="0.25">
      <c r="A136" s="18" t="s">
        <v>339</v>
      </c>
      <c r="B136" s="19" t="s">
        <v>440</v>
      </c>
      <c r="C136" s="322" t="s">
        <v>246</v>
      </c>
      <c r="D136" s="322">
        <v>17026</v>
      </c>
    </row>
    <row r="137" spans="1:4" ht="30" customHeight="1" x14ac:dyDescent="0.25">
      <c r="A137" s="18" t="s">
        <v>361</v>
      </c>
      <c r="B137" s="19" t="s">
        <v>728</v>
      </c>
      <c r="C137" s="322" t="s">
        <v>304</v>
      </c>
      <c r="D137" s="322">
        <v>17041</v>
      </c>
    </row>
    <row r="138" spans="1:4" ht="30" customHeight="1" x14ac:dyDescent="0.25">
      <c r="A138" s="18" t="s">
        <v>777</v>
      </c>
      <c r="B138" s="19" t="s">
        <v>778</v>
      </c>
      <c r="C138" s="322" t="s">
        <v>393</v>
      </c>
      <c r="D138" s="322">
        <v>17035</v>
      </c>
    </row>
    <row r="139" spans="1:4" ht="30" customHeight="1" x14ac:dyDescent="0.25">
      <c r="A139" s="18" t="s">
        <v>378</v>
      </c>
      <c r="B139" s="19" t="s">
        <v>477</v>
      </c>
      <c r="C139" s="322" t="s">
        <v>303</v>
      </c>
      <c r="D139" s="322">
        <v>17030</v>
      </c>
    </row>
    <row r="140" spans="1:4" ht="30" customHeight="1" x14ac:dyDescent="0.25">
      <c r="A140" s="18" t="s">
        <v>478</v>
      </c>
      <c r="B140" s="19" t="s">
        <v>479</v>
      </c>
      <c r="C140" s="322" t="s">
        <v>303</v>
      </c>
      <c r="D140" s="322">
        <v>17030</v>
      </c>
    </row>
    <row r="141" spans="1:4" ht="30" customHeight="1" x14ac:dyDescent="0.25">
      <c r="A141" s="18" t="s">
        <v>405</v>
      </c>
      <c r="B141" s="19" t="s">
        <v>729</v>
      </c>
      <c r="C141" s="322" t="s">
        <v>304</v>
      </c>
      <c r="D141" s="322">
        <v>17041</v>
      </c>
    </row>
    <row r="142" spans="1:4" ht="30" customHeight="1" x14ac:dyDescent="0.25">
      <c r="A142" s="18" t="s">
        <v>394</v>
      </c>
      <c r="B142" s="19" t="s">
        <v>631</v>
      </c>
      <c r="C142" s="322" t="s">
        <v>393</v>
      </c>
      <c r="D142" s="322">
        <v>17035</v>
      </c>
    </row>
    <row r="143" spans="1:4" ht="30" customHeight="1" x14ac:dyDescent="0.25">
      <c r="A143" s="18" t="s">
        <v>406</v>
      </c>
      <c r="B143" s="19" t="s">
        <v>730</v>
      </c>
      <c r="C143" s="322" t="s">
        <v>304</v>
      </c>
      <c r="D143" s="322">
        <v>17041</v>
      </c>
    </row>
    <row r="144" spans="1:4" ht="30" customHeight="1" x14ac:dyDescent="0.25">
      <c r="A144" s="18" t="s">
        <v>766</v>
      </c>
      <c r="B144" s="19" t="s">
        <v>780</v>
      </c>
      <c r="C144" s="322" t="s">
        <v>393</v>
      </c>
      <c r="D144" s="322">
        <v>17035</v>
      </c>
    </row>
    <row r="145" spans="1:4" ht="30" customHeight="1" x14ac:dyDescent="0.25">
      <c r="A145" s="18" t="s">
        <v>607</v>
      </c>
      <c r="B145" s="19" t="s">
        <v>608</v>
      </c>
      <c r="C145" s="322" t="s">
        <v>307</v>
      </c>
      <c r="D145" s="322">
        <v>17031</v>
      </c>
    </row>
    <row r="146" spans="1:4" ht="30" customHeight="1" x14ac:dyDescent="0.25">
      <c r="A146" s="322" t="s">
        <v>407</v>
      </c>
      <c r="B146" s="19" t="s">
        <v>731</v>
      </c>
      <c r="C146" s="322" t="s">
        <v>304</v>
      </c>
      <c r="D146" s="322">
        <v>17041</v>
      </c>
    </row>
    <row r="147" spans="1:4" ht="30" customHeight="1" x14ac:dyDescent="0.25">
      <c r="A147" s="322" t="s">
        <v>340</v>
      </c>
      <c r="B147" s="19" t="s">
        <v>683</v>
      </c>
      <c r="C147" s="322" t="s">
        <v>245</v>
      </c>
      <c r="D147" s="322">
        <v>17036</v>
      </c>
    </row>
    <row r="148" spans="1:4" ht="30" customHeight="1" x14ac:dyDescent="0.25">
      <c r="A148" s="322" t="s">
        <v>151</v>
      </c>
      <c r="B148" s="19" t="s">
        <v>732</v>
      </c>
      <c r="C148" s="322" t="s">
        <v>304</v>
      </c>
      <c r="D148" s="322">
        <v>17041</v>
      </c>
    </row>
    <row r="149" spans="1:4" ht="30" customHeight="1" x14ac:dyDescent="0.25">
      <c r="A149" s="18" t="s">
        <v>550</v>
      </c>
      <c r="B149" s="19" t="s">
        <v>551</v>
      </c>
      <c r="C149" s="322" t="s">
        <v>302</v>
      </c>
      <c r="D149" s="322">
        <v>17039</v>
      </c>
    </row>
    <row r="150" spans="1:4" ht="30" customHeight="1" x14ac:dyDescent="0.25">
      <c r="A150" s="322" t="s">
        <v>217</v>
      </c>
      <c r="B150" s="19" t="s">
        <v>710</v>
      </c>
      <c r="C150" s="322" t="s">
        <v>308</v>
      </c>
      <c r="D150" s="322">
        <v>17037</v>
      </c>
    </row>
    <row r="151" spans="1:4" ht="30" customHeight="1" x14ac:dyDescent="0.25">
      <c r="A151" s="18" t="s">
        <v>270</v>
      </c>
      <c r="B151" s="19" t="s">
        <v>582</v>
      </c>
      <c r="C151" s="322" t="s">
        <v>306</v>
      </c>
      <c r="D151" s="322">
        <v>17045</v>
      </c>
    </row>
    <row r="152" spans="1:4" ht="30" customHeight="1" x14ac:dyDescent="0.25">
      <c r="A152" s="322" t="s">
        <v>341</v>
      </c>
      <c r="B152" s="19" t="s">
        <v>480</v>
      </c>
      <c r="C152" s="322" t="s">
        <v>303</v>
      </c>
      <c r="D152" s="322">
        <v>17030</v>
      </c>
    </row>
    <row r="153" spans="1:4" ht="30" customHeight="1" x14ac:dyDescent="0.25">
      <c r="A153" s="322" t="s">
        <v>136</v>
      </c>
      <c r="B153" s="19" t="s">
        <v>711</v>
      </c>
      <c r="C153" s="322" t="s">
        <v>308</v>
      </c>
      <c r="D153" s="322">
        <v>17037</v>
      </c>
    </row>
    <row r="154" spans="1:4" ht="30" customHeight="1" x14ac:dyDescent="0.25">
      <c r="A154" s="322" t="s">
        <v>178</v>
      </c>
      <c r="B154" s="19" t="s">
        <v>799</v>
      </c>
      <c r="C154" s="322" t="s">
        <v>307</v>
      </c>
      <c r="D154" s="322">
        <v>17031</v>
      </c>
    </row>
    <row r="155" spans="1:4" ht="30" customHeight="1" x14ac:dyDescent="0.25">
      <c r="A155" s="18" t="s">
        <v>316</v>
      </c>
      <c r="B155" s="19" t="s">
        <v>552</v>
      </c>
      <c r="C155" s="322" t="s">
        <v>302</v>
      </c>
      <c r="D155" s="322">
        <v>17039</v>
      </c>
    </row>
    <row r="156" spans="1:4" ht="30" customHeight="1" x14ac:dyDescent="0.25">
      <c r="A156" s="322" t="s">
        <v>143</v>
      </c>
      <c r="B156" s="19" t="s">
        <v>632</v>
      </c>
      <c r="C156" s="322" t="s">
        <v>393</v>
      </c>
      <c r="D156" s="322">
        <v>17035</v>
      </c>
    </row>
    <row r="157" spans="1:4" ht="30" customHeight="1" x14ac:dyDescent="0.25">
      <c r="A157" s="18" t="s">
        <v>553</v>
      </c>
      <c r="B157" s="19" t="s">
        <v>554</v>
      </c>
      <c r="C157" s="322" t="s">
        <v>302</v>
      </c>
      <c r="D157" s="322">
        <v>17039</v>
      </c>
    </row>
    <row r="158" spans="1:4" ht="30" customHeight="1" x14ac:dyDescent="0.25">
      <c r="A158" s="18" t="s">
        <v>133</v>
      </c>
      <c r="B158" s="19" t="s">
        <v>441</v>
      </c>
      <c r="C158" s="322" t="s">
        <v>246</v>
      </c>
      <c r="D158" s="322">
        <v>17026</v>
      </c>
    </row>
    <row r="159" spans="1:4" ht="30" customHeight="1" x14ac:dyDescent="0.25">
      <c r="A159" s="322" t="s">
        <v>342</v>
      </c>
      <c r="B159" s="19" t="s">
        <v>733</v>
      </c>
      <c r="C159" s="322" t="s">
        <v>304</v>
      </c>
      <c r="D159" s="322">
        <v>17041</v>
      </c>
    </row>
    <row r="160" spans="1:4" ht="30" customHeight="1" x14ac:dyDescent="0.25">
      <c r="A160" s="322" t="s">
        <v>287</v>
      </c>
      <c r="B160" s="19" t="s">
        <v>609</v>
      </c>
      <c r="C160" s="322" t="s">
        <v>307</v>
      </c>
      <c r="D160" s="322">
        <v>17031</v>
      </c>
    </row>
    <row r="161" spans="1:4" ht="30" customHeight="1" x14ac:dyDescent="0.25">
      <c r="A161" s="322" t="s">
        <v>408</v>
      </c>
      <c r="B161" s="19" t="s">
        <v>734</v>
      </c>
      <c r="C161" s="322" t="s">
        <v>304</v>
      </c>
      <c r="D161" s="322">
        <v>17041</v>
      </c>
    </row>
    <row r="162" spans="1:4" ht="30" customHeight="1" x14ac:dyDescent="0.25">
      <c r="A162" s="18" t="s">
        <v>684</v>
      </c>
      <c r="B162" s="19" t="s">
        <v>685</v>
      </c>
      <c r="C162" s="322" t="s">
        <v>245</v>
      </c>
      <c r="D162" s="322">
        <v>17036</v>
      </c>
    </row>
    <row r="163" spans="1:4" ht="30" customHeight="1" x14ac:dyDescent="0.25">
      <c r="A163" s="18" t="s">
        <v>481</v>
      </c>
      <c r="B163" s="19" t="s">
        <v>482</v>
      </c>
      <c r="C163" s="322" t="s">
        <v>303</v>
      </c>
      <c r="D163" s="322">
        <v>17030</v>
      </c>
    </row>
    <row r="164" spans="1:4" ht="30" customHeight="1" x14ac:dyDescent="0.25">
      <c r="A164" s="18" t="s">
        <v>483</v>
      </c>
      <c r="B164" s="19" t="s">
        <v>484</v>
      </c>
      <c r="C164" s="322" t="s">
        <v>303</v>
      </c>
      <c r="D164" s="322">
        <v>17030</v>
      </c>
    </row>
    <row r="165" spans="1:4" ht="30" customHeight="1" x14ac:dyDescent="0.25">
      <c r="A165" s="322" t="s">
        <v>413</v>
      </c>
      <c r="B165" s="19" t="s">
        <v>442</v>
      </c>
      <c r="C165" s="322" t="s">
        <v>246</v>
      </c>
      <c r="D165" s="322">
        <v>17026</v>
      </c>
    </row>
    <row r="166" spans="1:4" ht="30" customHeight="1" x14ac:dyDescent="0.25">
      <c r="A166" s="18" t="s">
        <v>168</v>
      </c>
      <c r="B166" s="19" t="s">
        <v>610</v>
      </c>
      <c r="C166" s="322" t="s">
        <v>307</v>
      </c>
      <c r="D166" s="322">
        <v>17031</v>
      </c>
    </row>
    <row r="167" spans="1:4" ht="30" customHeight="1" x14ac:dyDescent="0.25">
      <c r="A167" s="18" t="s">
        <v>215</v>
      </c>
      <c r="B167" s="19" t="s">
        <v>583</v>
      </c>
      <c r="C167" s="322" t="s">
        <v>306</v>
      </c>
      <c r="D167" s="322">
        <v>17045</v>
      </c>
    </row>
    <row r="168" spans="1:4" ht="30" customHeight="1" x14ac:dyDescent="0.25">
      <c r="A168" s="18" t="s">
        <v>375</v>
      </c>
      <c r="B168" s="19" t="s">
        <v>443</v>
      </c>
      <c r="C168" s="322" t="s">
        <v>246</v>
      </c>
      <c r="D168" s="322">
        <v>17026</v>
      </c>
    </row>
    <row r="169" spans="1:4" ht="30" customHeight="1" x14ac:dyDescent="0.25">
      <c r="A169" s="18" t="s">
        <v>152</v>
      </c>
      <c r="B169" s="19" t="s">
        <v>712</v>
      </c>
      <c r="C169" s="322" t="s">
        <v>308</v>
      </c>
      <c r="D169" s="322">
        <v>17037</v>
      </c>
    </row>
    <row r="170" spans="1:4" ht="30" customHeight="1" x14ac:dyDescent="0.25">
      <c r="A170" s="322" t="s">
        <v>420</v>
      </c>
      <c r="B170" s="19" t="s">
        <v>485</v>
      </c>
      <c r="C170" s="322" t="s">
        <v>303</v>
      </c>
      <c r="D170" s="322">
        <v>17030</v>
      </c>
    </row>
    <row r="171" spans="1:4" ht="30" customHeight="1" x14ac:dyDescent="0.25">
      <c r="A171" s="322" t="s">
        <v>317</v>
      </c>
      <c r="B171" s="19" t="s">
        <v>686</v>
      </c>
      <c r="C171" s="322" t="s">
        <v>245</v>
      </c>
      <c r="D171" s="322">
        <v>17036</v>
      </c>
    </row>
    <row r="172" spans="1:4" ht="30" customHeight="1" x14ac:dyDescent="0.25">
      <c r="A172" s="18" t="s">
        <v>486</v>
      </c>
      <c r="B172" s="19" t="s">
        <v>487</v>
      </c>
      <c r="C172" s="322" t="s">
        <v>303</v>
      </c>
      <c r="D172" s="322">
        <v>17030</v>
      </c>
    </row>
    <row r="173" spans="1:4" ht="30" customHeight="1" x14ac:dyDescent="0.25">
      <c r="A173" s="18" t="s">
        <v>318</v>
      </c>
      <c r="B173" s="19" t="s">
        <v>611</v>
      </c>
      <c r="C173" s="322" t="s">
        <v>307</v>
      </c>
      <c r="D173" s="322">
        <v>17031</v>
      </c>
    </row>
    <row r="174" spans="1:4" ht="30" customHeight="1" x14ac:dyDescent="0.25">
      <c r="A174" s="18" t="s">
        <v>343</v>
      </c>
      <c r="B174" s="19" t="s">
        <v>555</v>
      </c>
      <c r="C174" s="322" t="s">
        <v>302</v>
      </c>
      <c r="D174" s="322">
        <v>17039</v>
      </c>
    </row>
    <row r="175" spans="1:4" ht="30" customHeight="1" x14ac:dyDescent="0.25">
      <c r="A175" s="322" t="s">
        <v>139</v>
      </c>
      <c r="B175" s="19" t="s">
        <v>556</v>
      </c>
      <c r="C175" s="322" t="s">
        <v>302</v>
      </c>
      <c r="D175" s="322">
        <v>17039</v>
      </c>
    </row>
    <row r="176" spans="1:4" ht="30" customHeight="1" x14ac:dyDescent="0.25">
      <c r="A176" s="18" t="s">
        <v>216</v>
      </c>
      <c r="B176" s="19" t="s">
        <v>557</v>
      </c>
      <c r="C176" s="322" t="s">
        <v>302</v>
      </c>
      <c r="D176" s="322">
        <v>17039</v>
      </c>
    </row>
    <row r="177" spans="1:4" ht="30" customHeight="1" x14ac:dyDescent="0.25">
      <c r="A177" s="18" t="s">
        <v>199</v>
      </c>
      <c r="B177" s="19" t="s">
        <v>612</v>
      </c>
      <c r="C177" s="322" t="s">
        <v>307</v>
      </c>
      <c r="D177" s="322">
        <v>17031</v>
      </c>
    </row>
    <row r="178" spans="1:4" ht="30" customHeight="1" x14ac:dyDescent="0.25">
      <c r="A178" s="18" t="s">
        <v>424</v>
      </c>
      <c r="B178" s="19" t="s">
        <v>633</v>
      </c>
      <c r="C178" s="322" t="s">
        <v>393</v>
      </c>
      <c r="D178" s="322">
        <v>17035</v>
      </c>
    </row>
    <row r="179" spans="1:4" ht="30" customHeight="1" x14ac:dyDescent="0.25">
      <c r="A179" s="322" t="s">
        <v>142</v>
      </c>
      <c r="B179" s="19" t="s">
        <v>444</v>
      </c>
      <c r="C179" s="322" t="s">
        <v>246</v>
      </c>
      <c r="D179" s="322">
        <v>17026</v>
      </c>
    </row>
    <row r="180" spans="1:4" ht="30" customHeight="1" x14ac:dyDescent="0.25">
      <c r="A180" s="18" t="s">
        <v>344</v>
      </c>
      <c r="B180" s="19" t="s">
        <v>735</v>
      </c>
      <c r="C180" s="322" t="s">
        <v>304</v>
      </c>
      <c r="D180" s="322">
        <v>17041</v>
      </c>
    </row>
    <row r="181" spans="1:4" ht="30" customHeight="1" x14ac:dyDescent="0.25">
      <c r="A181" s="18" t="s">
        <v>423</v>
      </c>
      <c r="B181" s="19" t="s">
        <v>634</v>
      </c>
      <c r="C181" s="322" t="s">
        <v>393</v>
      </c>
      <c r="D181" s="322">
        <v>17035</v>
      </c>
    </row>
    <row r="182" spans="1:4" ht="30" customHeight="1" x14ac:dyDescent="0.25">
      <c r="A182" s="322" t="s">
        <v>345</v>
      </c>
      <c r="B182" s="19" t="s">
        <v>558</v>
      </c>
      <c r="C182" s="322" t="s">
        <v>302</v>
      </c>
      <c r="D182" s="322">
        <v>17039</v>
      </c>
    </row>
    <row r="183" spans="1:4" ht="30" customHeight="1" x14ac:dyDescent="0.25">
      <c r="A183" s="18" t="s">
        <v>223</v>
      </c>
      <c r="B183" s="19" t="s">
        <v>488</v>
      </c>
      <c r="C183" s="322" t="s">
        <v>303</v>
      </c>
      <c r="D183" s="322">
        <v>17030</v>
      </c>
    </row>
    <row r="184" spans="1:4" ht="30" customHeight="1" x14ac:dyDescent="0.25">
      <c r="A184" s="18" t="s">
        <v>346</v>
      </c>
      <c r="B184" s="19" t="s">
        <v>559</v>
      </c>
      <c r="C184" s="322" t="s">
        <v>302</v>
      </c>
      <c r="D184" s="322">
        <v>17039</v>
      </c>
    </row>
    <row r="185" spans="1:4" ht="30" customHeight="1" x14ac:dyDescent="0.25">
      <c r="A185" s="18" t="s">
        <v>191</v>
      </c>
      <c r="B185" s="19" t="s">
        <v>445</v>
      </c>
      <c r="C185" s="322" t="s">
        <v>246</v>
      </c>
      <c r="D185" s="322">
        <v>17026</v>
      </c>
    </row>
    <row r="186" spans="1:4" ht="30" customHeight="1" x14ac:dyDescent="0.25">
      <c r="A186" s="18" t="s">
        <v>379</v>
      </c>
      <c r="B186" s="19" t="s">
        <v>489</v>
      </c>
      <c r="C186" s="322" t="s">
        <v>303</v>
      </c>
      <c r="D186" s="322">
        <v>17030</v>
      </c>
    </row>
    <row r="187" spans="1:4" ht="30" customHeight="1" x14ac:dyDescent="0.25">
      <c r="A187" s="18" t="s">
        <v>288</v>
      </c>
      <c r="B187" s="19" t="s">
        <v>490</v>
      </c>
      <c r="C187" s="322" t="s">
        <v>303</v>
      </c>
      <c r="D187" s="322">
        <v>17030</v>
      </c>
    </row>
    <row r="188" spans="1:4" ht="30" customHeight="1" x14ac:dyDescent="0.25">
      <c r="A188" s="18" t="s">
        <v>380</v>
      </c>
      <c r="B188" s="19" t="s">
        <v>491</v>
      </c>
      <c r="C188" s="322" t="s">
        <v>303</v>
      </c>
      <c r="D188" s="322">
        <v>17030</v>
      </c>
    </row>
    <row r="189" spans="1:4" ht="30" customHeight="1" x14ac:dyDescent="0.25">
      <c r="A189" s="322" t="s">
        <v>419</v>
      </c>
      <c r="B189" s="19" t="s">
        <v>687</v>
      </c>
      <c r="C189" s="322" t="s">
        <v>245</v>
      </c>
      <c r="D189" s="322">
        <v>17036</v>
      </c>
    </row>
    <row r="190" spans="1:4" ht="30" customHeight="1" x14ac:dyDescent="0.25">
      <c r="A190" s="18" t="s">
        <v>347</v>
      </c>
      <c r="B190" s="19" t="s">
        <v>736</v>
      </c>
      <c r="C190" s="322" t="s">
        <v>304</v>
      </c>
      <c r="D190" s="322">
        <v>17041</v>
      </c>
    </row>
    <row r="191" spans="1:4" ht="30" customHeight="1" x14ac:dyDescent="0.25">
      <c r="A191" s="18" t="s">
        <v>767</v>
      </c>
      <c r="B191" s="19" t="s">
        <v>768</v>
      </c>
      <c r="C191" s="322" t="s">
        <v>393</v>
      </c>
      <c r="D191" s="322">
        <v>17035</v>
      </c>
    </row>
    <row r="192" spans="1:4" ht="30" customHeight="1" x14ac:dyDescent="0.25">
      <c r="A192" s="18" t="s">
        <v>193</v>
      </c>
      <c r="B192" s="19" t="s">
        <v>492</v>
      </c>
      <c r="C192" s="322" t="s">
        <v>303</v>
      </c>
      <c r="D192" s="322">
        <v>17030</v>
      </c>
    </row>
    <row r="193" spans="1:4" ht="30" customHeight="1" x14ac:dyDescent="0.25">
      <c r="A193" s="18" t="s">
        <v>134</v>
      </c>
      <c r="B193" s="19" t="s">
        <v>446</v>
      </c>
      <c r="C193" s="322" t="s">
        <v>246</v>
      </c>
      <c r="D193" s="322">
        <v>17026</v>
      </c>
    </row>
    <row r="194" spans="1:4" ht="30" customHeight="1" x14ac:dyDescent="0.25">
      <c r="A194" s="18" t="s">
        <v>493</v>
      </c>
      <c r="B194" s="19" t="s">
        <v>494</v>
      </c>
      <c r="C194" s="322" t="s">
        <v>303</v>
      </c>
      <c r="D194" s="322">
        <v>17030</v>
      </c>
    </row>
    <row r="195" spans="1:4" ht="30" customHeight="1" x14ac:dyDescent="0.25">
      <c r="A195" s="18" t="s">
        <v>198</v>
      </c>
      <c r="B195" s="19" t="s">
        <v>613</v>
      </c>
      <c r="C195" s="322" t="s">
        <v>307</v>
      </c>
      <c r="D195" s="322">
        <v>17031</v>
      </c>
    </row>
    <row r="196" spans="1:4" ht="30" customHeight="1" x14ac:dyDescent="0.25">
      <c r="A196" s="18" t="s">
        <v>267</v>
      </c>
      <c r="B196" s="19" t="s">
        <v>688</v>
      </c>
      <c r="C196" s="322" t="s">
        <v>245</v>
      </c>
      <c r="D196" s="322">
        <v>17036</v>
      </c>
    </row>
    <row r="197" spans="1:4" ht="30" customHeight="1" x14ac:dyDescent="0.25">
      <c r="A197" s="18" t="s">
        <v>177</v>
      </c>
      <c r="B197" s="19" t="s">
        <v>614</v>
      </c>
      <c r="C197" s="322" t="s">
        <v>307</v>
      </c>
      <c r="D197" s="322">
        <v>17031</v>
      </c>
    </row>
    <row r="198" spans="1:4" ht="30" customHeight="1" x14ac:dyDescent="0.25">
      <c r="A198" s="18" t="s">
        <v>132</v>
      </c>
      <c r="B198" s="19" t="s">
        <v>689</v>
      </c>
      <c r="C198" s="322" t="s">
        <v>245</v>
      </c>
      <c r="D198" s="322">
        <v>17036</v>
      </c>
    </row>
    <row r="199" spans="1:4" ht="30" customHeight="1" x14ac:dyDescent="0.25">
      <c r="A199" s="322" t="s">
        <v>209</v>
      </c>
      <c r="B199" s="19" t="s">
        <v>635</v>
      </c>
      <c r="C199" s="322" t="s">
        <v>393</v>
      </c>
      <c r="D199" s="322">
        <v>17035</v>
      </c>
    </row>
    <row r="200" spans="1:4" ht="30" customHeight="1" x14ac:dyDescent="0.25">
      <c r="A200" s="18" t="s">
        <v>289</v>
      </c>
      <c r="B200" s="19" t="s">
        <v>713</v>
      </c>
      <c r="C200" s="322" t="s">
        <v>308</v>
      </c>
      <c r="D200" s="322">
        <v>17037</v>
      </c>
    </row>
    <row r="201" spans="1:4" ht="30" customHeight="1" x14ac:dyDescent="0.25">
      <c r="A201" s="18" t="s">
        <v>202</v>
      </c>
      <c r="B201" s="19" t="s">
        <v>615</v>
      </c>
      <c r="C201" s="322" t="s">
        <v>307</v>
      </c>
      <c r="D201" s="322">
        <v>17031</v>
      </c>
    </row>
    <row r="202" spans="1:4" ht="30" customHeight="1" x14ac:dyDescent="0.25">
      <c r="A202" s="18" t="s">
        <v>138</v>
      </c>
      <c r="B202" s="19" t="s">
        <v>560</v>
      </c>
      <c r="C202" s="322" t="s">
        <v>302</v>
      </c>
      <c r="D202" s="322">
        <v>17039</v>
      </c>
    </row>
    <row r="203" spans="1:4" ht="30" customHeight="1" x14ac:dyDescent="0.25">
      <c r="A203" s="18" t="s">
        <v>348</v>
      </c>
      <c r="B203" s="19" t="s">
        <v>495</v>
      </c>
      <c r="C203" s="322" t="s">
        <v>303</v>
      </c>
      <c r="D203" s="322">
        <v>17030</v>
      </c>
    </row>
    <row r="204" spans="1:4" ht="30" customHeight="1" x14ac:dyDescent="0.25">
      <c r="A204" s="18" t="s">
        <v>290</v>
      </c>
      <c r="B204" s="19" t="s">
        <v>737</v>
      </c>
      <c r="C204" s="322" t="s">
        <v>304</v>
      </c>
      <c r="D204" s="322">
        <v>17041</v>
      </c>
    </row>
    <row r="205" spans="1:4" ht="30" customHeight="1" x14ac:dyDescent="0.25">
      <c r="A205" s="18" t="s">
        <v>131</v>
      </c>
      <c r="B205" s="19" t="s">
        <v>690</v>
      </c>
      <c r="C205" s="322" t="s">
        <v>245</v>
      </c>
      <c r="D205" s="322">
        <v>17036</v>
      </c>
    </row>
    <row r="206" spans="1:4" ht="30" customHeight="1" x14ac:dyDescent="0.25">
      <c r="A206" s="322" t="s">
        <v>319</v>
      </c>
      <c r="B206" s="19" t="s">
        <v>738</v>
      </c>
      <c r="C206" s="322" t="s">
        <v>304</v>
      </c>
      <c r="D206" s="322">
        <v>17041</v>
      </c>
    </row>
    <row r="207" spans="1:4" ht="30" customHeight="1" x14ac:dyDescent="0.25">
      <c r="A207" s="18" t="s">
        <v>398</v>
      </c>
      <c r="B207" s="19" t="s">
        <v>691</v>
      </c>
      <c r="C207" s="322" t="s">
        <v>245</v>
      </c>
      <c r="D207" s="322">
        <v>17036</v>
      </c>
    </row>
    <row r="208" spans="1:4" ht="30" customHeight="1" x14ac:dyDescent="0.25">
      <c r="A208" s="322" t="s">
        <v>291</v>
      </c>
      <c r="B208" s="19" t="s">
        <v>496</v>
      </c>
      <c r="C208" s="322" t="s">
        <v>303</v>
      </c>
      <c r="D208" s="322">
        <v>17030</v>
      </c>
    </row>
    <row r="209" spans="1:4" ht="30" customHeight="1" x14ac:dyDescent="0.25">
      <c r="A209" s="18" t="s">
        <v>150</v>
      </c>
      <c r="B209" s="19" t="s">
        <v>692</v>
      </c>
      <c r="C209" s="322" t="s">
        <v>245</v>
      </c>
      <c r="D209" s="322">
        <v>17036</v>
      </c>
    </row>
    <row r="210" spans="1:4" ht="30" customHeight="1" x14ac:dyDescent="0.25">
      <c r="A210" s="18" t="s">
        <v>349</v>
      </c>
      <c r="B210" s="19" t="s">
        <v>561</v>
      </c>
      <c r="C210" s="322" t="s">
        <v>302</v>
      </c>
      <c r="D210" s="322">
        <v>17039</v>
      </c>
    </row>
    <row r="211" spans="1:4" ht="30" customHeight="1" x14ac:dyDescent="0.25">
      <c r="A211" s="18" t="s">
        <v>257</v>
      </c>
      <c r="B211" s="19" t="s">
        <v>739</v>
      </c>
      <c r="C211" s="322" t="s">
        <v>304</v>
      </c>
      <c r="D211" s="322">
        <v>17041</v>
      </c>
    </row>
    <row r="212" spans="1:4" ht="30" customHeight="1" x14ac:dyDescent="0.25">
      <c r="A212" s="18" t="s">
        <v>172</v>
      </c>
      <c r="B212" s="19" t="s">
        <v>497</v>
      </c>
      <c r="C212" s="322" t="s">
        <v>303</v>
      </c>
      <c r="D212" s="322">
        <v>17030</v>
      </c>
    </row>
    <row r="213" spans="1:4" ht="30" customHeight="1" x14ac:dyDescent="0.25">
      <c r="A213" s="18" t="s">
        <v>320</v>
      </c>
      <c r="B213" s="19" t="s">
        <v>693</v>
      </c>
      <c r="C213" s="322" t="s">
        <v>245</v>
      </c>
      <c r="D213" s="322">
        <v>17036</v>
      </c>
    </row>
    <row r="214" spans="1:4" ht="30" customHeight="1" x14ac:dyDescent="0.25">
      <c r="A214" s="18" t="s">
        <v>140</v>
      </c>
      <c r="B214" s="19" t="s">
        <v>562</v>
      </c>
      <c r="C214" s="322" t="s">
        <v>302</v>
      </c>
      <c r="D214" s="322">
        <v>17039</v>
      </c>
    </row>
    <row r="215" spans="1:4" ht="30" customHeight="1" x14ac:dyDescent="0.25">
      <c r="A215" s="18" t="s">
        <v>203</v>
      </c>
      <c r="B215" s="19" t="s">
        <v>563</v>
      </c>
      <c r="C215" s="322" t="s">
        <v>302</v>
      </c>
      <c r="D215" s="322">
        <v>17039</v>
      </c>
    </row>
    <row r="216" spans="1:4" ht="30" customHeight="1" x14ac:dyDescent="0.25">
      <c r="A216" s="18" t="s">
        <v>292</v>
      </c>
      <c r="B216" s="19" t="s">
        <v>740</v>
      </c>
      <c r="C216" s="322" t="s">
        <v>304</v>
      </c>
      <c r="D216" s="322">
        <v>17041</v>
      </c>
    </row>
    <row r="217" spans="1:4" ht="30" customHeight="1" x14ac:dyDescent="0.25">
      <c r="A217" s="322" t="s">
        <v>253</v>
      </c>
      <c r="B217" s="19" t="s">
        <v>584</v>
      </c>
      <c r="C217" s="322" t="s">
        <v>306</v>
      </c>
      <c r="D217" s="322">
        <v>17045</v>
      </c>
    </row>
    <row r="218" spans="1:4" ht="30" customHeight="1" x14ac:dyDescent="0.25">
      <c r="A218" s="18" t="s">
        <v>144</v>
      </c>
      <c r="B218" s="19" t="s">
        <v>636</v>
      </c>
      <c r="C218" s="322" t="s">
        <v>393</v>
      </c>
      <c r="D218" s="322">
        <v>17035</v>
      </c>
    </row>
    <row r="219" spans="1:4" ht="30" customHeight="1" x14ac:dyDescent="0.25">
      <c r="A219" s="18" t="s">
        <v>741</v>
      </c>
      <c r="B219" s="19" t="s">
        <v>742</v>
      </c>
      <c r="C219" s="322" t="s">
        <v>304</v>
      </c>
      <c r="D219" s="322">
        <v>17041</v>
      </c>
    </row>
    <row r="220" spans="1:4" ht="30" customHeight="1" x14ac:dyDescent="0.25">
      <c r="A220" s="18" t="s">
        <v>146</v>
      </c>
      <c r="B220" s="19" t="s">
        <v>447</v>
      </c>
      <c r="C220" s="322" t="s">
        <v>246</v>
      </c>
      <c r="D220" s="322">
        <v>17026</v>
      </c>
    </row>
    <row r="221" spans="1:4" ht="30" customHeight="1" x14ac:dyDescent="0.25">
      <c r="A221" s="322" t="s">
        <v>386</v>
      </c>
      <c r="B221" s="19" t="s">
        <v>585</v>
      </c>
      <c r="C221" s="322" t="s">
        <v>306</v>
      </c>
      <c r="D221" s="322">
        <v>17045</v>
      </c>
    </row>
    <row r="222" spans="1:4" ht="30" customHeight="1" x14ac:dyDescent="0.25">
      <c r="A222" s="18" t="s">
        <v>293</v>
      </c>
      <c r="B222" s="19" t="s">
        <v>498</v>
      </c>
      <c r="C222" s="322" t="s">
        <v>303</v>
      </c>
      <c r="D222" s="322">
        <v>17030</v>
      </c>
    </row>
    <row r="223" spans="1:4" ht="30" customHeight="1" x14ac:dyDescent="0.25">
      <c r="A223" s="18" t="s">
        <v>381</v>
      </c>
      <c r="B223" s="19" t="s">
        <v>499</v>
      </c>
      <c r="C223" s="322" t="s">
        <v>303</v>
      </c>
      <c r="D223" s="322">
        <v>17030</v>
      </c>
    </row>
    <row r="224" spans="1:4" ht="30" customHeight="1" x14ac:dyDescent="0.25">
      <c r="A224" s="322" t="s">
        <v>500</v>
      </c>
      <c r="B224" s="19" t="s">
        <v>501</v>
      </c>
      <c r="C224" s="322" t="s">
        <v>303</v>
      </c>
      <c r="D224" s="322">
        <v>17030</v>
      </c>
    </row>
    <row r="225" spans="1:4" ht="30" customHeight="1" x14ac:dyDescent="0.25">
      <c r="A225" s="18" t="s">
        <v>350</v>
      </c>
      <c r="B225" s="19" t="s">
        <v>694</v>
      </c>
      <c r="C225" s="322" t="s">
        <v>245</v>
      </c>
      <c r="D225" s="322">
        <v>17036</v>
      </c>
    </row>
    <row r="226" spans="1:4" ht="30" customHeight="1" x14ac:dyDescent="0.25">
      <c r="A226" s="322" t="s">
        <v>409</v>
      </c>
      <c r="B226" s="19" t="s">
        <v>743</v>
      </c>
      <c r="C226" s="322" t="s">
        <v>304</v>
      </c>
      <c r="D226" s="322">
        <v>17041</v>
      </c>
    </row>
    <row r="227" spans="1:4" ht="30" customHeight="1" x14ac:dyDescent="0.25">
      <c r="A227" s="18" t="s">
        <v>382</v>
      </c>
      <c r="B227" s="19" t="s">
        <v>502</v>
      </c>
      <c r="C227" s="322" t="s">
        <v>303</v>
      </c>
      <c r="D227" s="322">
        <v>17030</v>
      </c>
    </row>
    <row r="228" spans="1:4" ht="30" customHeight="1" x14ac:dyDescent="0.25">
      <c r="A228" s="18" t="s">
        <v>141</v>
      </c>
      <c r="B228" s="19" t="s">
        <v>564</v>
      </c>
      <c r="C228" s="322" t="s">
        <v>302</v>
      </c>
      <c r="D228" s="322">
        <v>17039</v>
      </c>
    </row>
    <row r="229" spans="1:4" ht="30" customHeight="1" x14ac:dyDescent="0.25">
      <c r="A229" s="18" t="s">
        <v>351</v>
      </c>
      <c r="B229" s="19" t="s">
        <v>695</v>
      </c>
      <c r="C229" s="322" t="s">
        <v>245</v>
      </c>
      <c r="D229" s="322">
        <v>17036</v>
      </c>
    </row>
    <row r="230" spans="1:4" ht="30" customHeight="1" x14ac:dyDescent="0.25">
      <c r="A230" s="18" t="s">
        <v>326</v>
      </c>
      <c r="B230" s="19" t="s">
        <v>744</v>
      </c>
      <c r="C230" s="322" t="s">
        <v>304</v>
      </c>
      <c r="D230" s="322">
        <v>17041</v>
      </c>
    </row>
    <row r="231" spans="1:4" ht="30" customHeight="1" x14ac:dyDescent="0.25">
      <c r="A231" s="322" t="s">
        <v>376</v>
      </c>
      <c r="B231" s="19" t="s">
        <v>448</v>
      </c>
      <c r="C231" s="322" t="s">
        <v>246</v>
      </c>
      <c r="D231" s="322">
        <v>17026</v>
      </c>
    </row>
    <row r="232" spans="1:4" ht="30" customHeight="1" x14ac:dyDescent="0.25">
      <c r="A232" s="322" t="s">
        <v>158</v>
      </c>
      <c r="B232" s="19" t="s">
        <v>565</v>
      </c>
      <c r="C232" s="322" t="s">
        <v>302</v>
      </c>
      <c r="D232" s="322">
        <v>17039</v>
      </c>
    </row>
    <row r="233" spans="1:4" ht="30" customHeight="1" x14ac:dyDescent="0.25">
      <c r="A233" s="18" t="s">
        <v>195</v>
      </c>
      <c r="B233" s="19" t="s">
        <v>745</v>
      </c>
      <c r="C233" s="322" t="s">
        <v>304</v>
      </c>
      <c r="D233" s="322">
        <v>17041</v>
      </c>
    </row>
    <row r="234" spans="1:4" ht="30" customHeight="1" x14ac:dyDescent="0.25">
      <c r="A234" s="18" t="s">
        <v>294</v>
      </c>
      <c r="B234" s="19" t="s">
        <v>746</v>
      </c>
      <c r="C234" s="322" t="s">
        <v>304</v>
      </c>
      <c r="D234" s="322">
        <v>17041</v>
      </c>
    </row>
    <row r="235" spans="1:4" ht="30" customHeight="1" x14ac:dyDescent="0.25">
      <c r="A235" s="18" t="s">
        <v>149</v>
      </c>
      <c r="B235" s="19" t="s">
        <v>747</v>
      </c>
      <c r="C235" s="322" t="s">
        <v>304</v>
      </c>
      <c r="D235" s="322">
        <v>17041</v>
      </c>
    </row>
    <row r="236" spans="1:4" ht="30" customHeight="1" x14ac:dyDescent="0.25">
      <c r="A236" s="18" t="s">
        <v>188</v>
      </c>
      <c r="B236" s="19" t="s">
        <v>696</v>
      </c>
      <c r="C236" s="322" t="s">
        <v>245</v>
      </c>
      <c r="D236" s="322">
        <v>17036</v>
      </c>
    </row>
    <row r="237" spans="1:4" ht="30" customHeight="1" x14ac:dyDescent="0.25">
      <c r="A237" s="322" t="s">
        <v>748</v>
      </c>
      <c r="B237" s="19" t="s">
        <v>749</v>
      </c>
      <c r="C237" s="322" t="s">
        <v>304</v>
      </c>
      <c r="D237" s="322">
        <v>17041</v>
      </c>
    </row>
    <row r="238" spans="1:4" ht="30" customHeight="1" x14ac:dyDescent="0.25">
      <c r="A238" s="322" t="s">
        <v>352</v>
      </c>
      <c r="B238" s="19" t="s">
        <v>750</v>
      </c>
      <c r="C238" s="322" t="s">
        <v>304</v>
      </c>
      <c r="D238" s="322">
        <v>17041</v>
      </c>
    </row>
    <row r="239" spans="1:4" ht="30" customHeight="1" x14ac:dyDescent="0.25">
      <c r="A239" s="322" t="s">
        <v>135</v>
      </c>
      <c r="B239" s="19" t="s">
        <v>449</v>
      </c>
      <c r="C239" s="322" t="s">
        <v>246</v>
      </c>
      <c r="D239" s="322">
        <v>17026</v>
      </c>
    </row>
    <row r="240" spans="1:4" ht="30" customHeight="1" x14ac:dyDescent="0.25">
      <c r="A240" s="18" t="s">
        <v>751</v>
      </c>
      <c r="B240" s="19" t="s">
        <v>752</v>
      </c>
      <c r="C240" s="322" t="s">
        <v>304</v>
      </c>
      <c r="D240" s="322">
        <v>17041</v>
      </c>
    </row>
    <row r="241" spans="1:4" ht="30" customHeight="1" x14ac:dyDescent="0.25">
      <c r="A241" s="322" t="s">
        <v>321</v>
      </c>
      <c r="B241" s="19" t="s">
        <v>503</v>
      </c>
      <c r="C241" s="322" t="s">
        <v>303</v>
      </c>
      <c r="D241" s="322">
        <v>17030</v>
      </c>
    </row>
    <row r="242" spans="1:4" ht="30" customHeight="1" x14ac:dyDescent="0.25">
      <c r="A242" s="322" t="s">
        <v>800</v>
      </c>
      <c r="B242" s="19" t="s">
        <v>801</v>
      </c>
      <c r="C242" s="322" t="s">
        <v>393</v>
      </c>
      <c r="D242" s="322">
        <v>17035</v>
      </c>
    </row>
    <row r="243" spans="1:4" ht="30" customHeight="1" x14ac:dyDescent="0.25">
      <c r="A243" s="322" t="s">
        <v>399</v>
      </c>
      <c r="B243" s="19" t="s">
        <v>697</v>
      </c>
      <c r="C243" s="322" t="s">
        <v>245</v>
      </c>
      <c r="D243" s="322">
        <v>17036</v>
      </c>
    </row>
    <row r="244" spans="1:4" ht="30" customHeight="1" x14ac:dyDescent="0.25">
      <c r="A244" s="322" t="s">
        <v>254</v>
      </c>
      <c r="B244" s="19" t="s">
        <v>504</v>
      </c>
      <c r="C244" s="322" t="s">
        <v>303</v>
      </c>
      <c r="D244" s="322">
        <v>17030</v>
      </c>
    </row>
    <row r="245" spans="1:4" ht="30" customHeight="1" x14ac:dyDescent="0.25">
      <c r="A245" s="18" t="s">
        <v>295</v>
      </c>
      <c r="B245" s="19" t="s">
        <v>450</v>
      </c>
      <c r="C245" s="322" t="s">
        <v>246</v>
      </c>
      <c r="D245" s="322">
        <v>17026</v>
      </c>
    </row>
    <row r="246" spans="1:4" ht="30" customHeight="1" x14ac:dyDescent="0.25">
      <c r="A246" s="322" t="s">
        <v>387</v>
      </c>
      <c r="B246" s="19" t="s">
        <v>586</v>
      </c>
      <c r="C246" s="322" t="s">
        <v>306</v>
      </c>
      <c r="D246" s="322">
        <v>17045</v>
      </c>
    </row>
    <row r="247" spans="1:4" ht="30" customHeight="1" x14ac:dyDescent="0.25">
      <c r="A247" s="18" t="s">
        <v>154</v>
      </c>
      <c r="B247" s="19" t="s">
        <v>566</v>
      </c>
      <c r="C247" s="322" t="s">
        <v>302</v>
      </c>
      <c r="D247" s="322">
        <v>17039</v>
      </c>
    </row>
    <row r="248" spans="1:4" ht="30" customHeight="1" x14ac:dyDescent="0.25">
      <c r="A248" s="18" t="s">
        <v>388</v>
      </c>
      <c r="B248" s="19" t="s">
        <v>587</v>
      </c>
      <c r="C248" s="322" t="s">
        <v>306</v>
      </c>
      <c r="D248" s="322">
        <v>17045</v>
      </c>
    </row>
    <row r="249" spans="1:4" ht="30" customHeight="1" x14ac:dyDescent="0.25">
      <c r="A249" s="18" t="s">
        <v>322</v>
      </c>
      <c r="B249" s="19" t="s">
        <v>698</v>
      </c>
      <c r="C249" s="322" t="s">
        <v>245</v>
      </c>
      <c r="D249" s="322">
        <v>17036</v>
      </c>
    </row>
    <row r="250" spans="1:4" ht="30" customHeight="1" x14ac:dyDescent="0.25">
      <c r="A250" s="18" t="s">
        <v>323</v>
      </c>
      <c r="B250" s="19" t="s">
        <v>699</v>
      </c>
      <c r="C250" s="322" t="s">
        <v>245</v>
      </c>
      <c r="D250" s="322">
        <v>17036</v>
      </c>
    </row>
    <row r="251" spans="1:4" ht="30" customHeight="1" x14ac:dyDescent="0.25">
      <c r="A251" s="18" t="s">
        <v>769</v>
      </c>
      <c r="B251" s="19" t="s">
        <v>770</v>
      </c>
      <c r="C251" s="322" t="s">
        <v>393</v>
      </c>
      <c r="D251" s="322">
        <v>17035</v>
      </c>
    </row>
    <row r="252" spans="1:4" ht="30" customHeight="1" x14ac:dyDescent="0.25">
      <c r="A252" s="18" t="s">
        <v>505</v>
      </c>
      <c r="B252" s="19" t="s">
        <v>506</v>
      </c>
      <c r="C252" s="322" t="s">
        <v>303</v>
      </c>
      <c r="D252" s="322">
        <v>17030</v>
      </c>
    </row>
    <row r="253" spans="1:4" ht="30" customHeight="1" x14ac:dyDescent="0.25">
      <c r="A253" s="18" t="s">
        <v>247</v>
      </c>
      <c r="B253" s="19" t="s">
        <v>451</v>
      </c>
      <c r="C253" s="322" t="s">
        <v>246</v>
      </c>
      <c r="D253" s="322">
        <v>17026</v>
      </c>
    </row>
    <row r="254" spans="1:4" ht="30" customHeight="1" x14ac:dyDescent="0.25">
      <c r="A254" s="18" t="s">
        <v>383</v>
      </c>
      <c r="B254" s="19" t="s">
        <v>507</v>
      </c>
      <c r="C254" s="322" t="s">
        <v>303</v>
      </c>
      <c r="D254" s="322">
        <v>17030</v>
      </c>
    </row>
    <row r="255" spans="1:4" ht="30" customHeight="1" x14ac:dyDescent="0.25">
      <c r="A255" s="18" t="s">
        <v>355</v>
      </c>
      <c r="B255" s="19" t="s">
        <v>452</v>
      </c>
      <c r="C255" s="322" t="s">
        <v>306</v>
      </c>
      <c r="D255" s="322">
        <v>17045</v>
      </c>
    </row>
    <row r="256" spans="1:4" ht="30" customHeight="1" x14ac:dyDescent="0.25">
      <c r="A256" s="18" t="s">
        <v>190</v>
      </c>
      <c r="B256" s="19" t="s">
        <v>453</v>
      </c>
      <c r="C256" s="322" t="s">
        <v>246</v>
      </c>
      <c r="D256" s="322">
        <v>17026</v>
      </c>
    </row>
    <row r="257" spans="1:4" ht="30" customHeight="1" x14ac:dyDescent="0.25">
      <c r="A257" s="18" t="s">
        <v>176</v>
      </c>
      <c r="B257" s="19" t="s">
        <v>588</v>
      </c>
      <c r="C257" s="322" t="s">
        <v>306</v>
      </c>
      <c r="D257" s="322">
        <v>17045</v>
      </c>
    </row>
    <row r="258" spans="1:4" ht="30" customHeight="1" x14ac:dyDescent="0.25">
      <c r="A258" s="18" t="s">
        <v>184</v>
      </c>
      <c r="B258" s="19" t="s">
        <v>637</v>
      </c>
      <c r="C258" s="322" t="s">
        <v>393</v>
      </c>
      <c r="D258" s="322">
        <v>17035</v>
      </c>
    </row>
    <row r="259" spans="1:4" ht="30" customHeight="1" x14ac:dyDescent="0.25">
      <c r="A259" s="18" t="s">
        <v>638</v>
      </c>
      <c r="B259" s="19" t="s">
        <v>639</v>
      </c>
      <c r="C259" s="322" t="s">
        <v>393</v>
      </c>
      <c r="D259" s="322">
        <v>17035</v>
      </c>
    </row>
    <row r="260" spans="1:4" ht="30" customHeight="1" x14ac:dyDescent="0.25">
      <c r="A260" s="18" t="s">
        <v>156</v>
      </c>
      <c r="B260" s="19" t="s">
        <v>508</v>
      </c>
      <c r="C260" s="322" t="s">
        <v>303</v>
      </c>
      <c r="D260" s="322">
        <v>17030</v>
      </c>
    </row>
    <row r="261" spans="1:4" ht="30" customHeight="1" x14ac:dyDescent="0.25">
      <c r="A261" s="322" t="s">
        <v>210</v>
      </c>
      <c r="B261" s="19" t="s">
        <v>454</v>
      </c>
      <c r="C261" s="322" t="s">
        <v>246</v>
      </c>
      <c r="D261" s="322">
        <v>17026</v>
      </c>
    </row>
    <row r="262" spans="1:4" ht="30" customHeight="1" x14ac:dyDescent="0.25">
      <c r="A262" s="322" t="s">
        <v>389</v>
      </c>
      <c r="B262" s="19" t="s">
        <v>589</v>
      </c>
      <c r="C262" s="322" t="s">
        <v>306</v>
      </c>
      <c r="D262" s="322">
        <v>17045</v>
      </c>
    </row>
    <row r="263" spans="1:4" ht="30" customHeight="1" x14ac:dyDescent="0.25">
      <c r="A263" s="18" t="s">
        <v>260</v>
      </c>
      <c r="B263" s="19" t="s">
        <v>616</v>
      </c>
      <c r="C263" s="322" t="s">
        <v>307</v>
      </c>
      <c r="D263" s="322">
        <v>17031</v>
      </c>
    </row>
    <row r="264" spans="1:4" ht="30" customHeight="1" x14ac:dyDescent="0.25">
      <c r="A264" s="18" t="s">
        <v>258</v>
      </c>
      <c r="B264" s="19" t="s">
        <v>567</v>
      </c>
      <c r="C264" s="322" t="s">
        <v>302</v>
      </c>
      <c r="D264" s="322">
        <v>17039</v>
      </c>
    </row>
    <row r="265" spans="1:4" ht="30" customHeight="1" x14ac:dyDescent="0.25">
      <c r="A265" s="322" t="s">
        <v>296</v>
      </c>
      <c r="B265" s="19" t="s">
        <v>753</v>
      </c>
      <c r="C265" s="322" t="s">
        <v>304</v>
      </c>
      <c r="D265" s="322">
        <v>17041</v>
      </c>
    </row>
    <row r="266" spans="1:4" ht="30" customHeight="1" x14ac:dyDescent="0.25">
      <c r="A266" s="18" t="s">
        <v>353</v>
      </c>
      <c r="B266" s="19" t="s">
        <v>754</v>
      </c>
      <c r="C266" s="322" t="s">
        <v>304</v>
      </c>
      <c r="D266" s="322">
        <v>17041</v>
      </c>
    </row>
    <row r="267" spans="1:4" ht="30" customHeight="1" x14ac:dyDescent="0.25">
      <c r="A267" s="18" t="s">
        <v>410</v>
      </c>
      <c r="B267" s="19" t="s">
        <v>755</v>
      </c>
      <c r="C267" s="322" t="s">
        <v>304</v>
      </c>
      <c r="D267" s="322">
        <v>17041</v>
      </c>
    </row>
    <row r="268" spans="1:4" ht="30" customHeight="1" x14ac:dyDescent="0.25">
      <c r="A268" s="322" t="s">
        <v>354</v>
      </c>
      <c r="B268" s="19" t="s">
        <v>714</v>
      </c>
      <c r="C268" s="322" t="s">
        <v>308</v>
      </c>
      <c r="D268" s="322">
        <v>17037</v>
      </c>
    </row>
    <row r="269" spans="1:4" ht="30" customHeight="1" x14ac:dyDescent="0.25">
      <c r="A269" s="18" t="s">
        <v>385</v>
      </c>
      <c r="B269" s="19" t="s">
        <v>568</v>
      </c>
      <c r="C269" s="322" t="s">
        <v>302</v>
      </c>
      <c r="D269" s="322">
        <v>17039</v>
      </c>
    </row>
    <row r="270" spans="1:4" ht="30" customHeight="1" x14ac:dyDescent="0.25">
      <c r="A270" s="322" t="s">
        <v>392</v>
      </c>
      <c r="B270" s="19" t="s">
        <v>617</v>
      </c>
      <c r="C270" s="322" t="s">
        <v>307</v>
      </c>
      <c r="D270" s="322">
        <v>17031</v>
      </c>
    </row>
    <row r="271" spans="1:4" ht="30" customHeight="1" x14ac:dyDescent="0.25">
      <c r="A271" s="18" t="s">
        <v>411</v>
      </c>
      <c r="B271" s="19" t="s">
        <v>756</v>
      </c>
      <c r="C271" s="322" t="s">
        <v>304</v>
      </c>
      <c r="D271" s="322">
        <v>17041</v>
      </c>
    </row>
    <row r="272" spans="1:4" ht="30" customHeight="1" x14ac:dyDescent="0.25">
      <c r="A272" s="18" t="s">
        <v>590</v>
      </c>
      <c r="B272" s="19" t="s">
        <v>591</v>
      </c>
      <c r="C272" s="322" t="s">
        <v>306</v>
      </c>
      <c r="D272" s="322">
        <v>17045</v>
      </c>
    </row>
    <row r="273" spans="1:4" ht="30" customHeight="1" x14ac:dyDescent="0.25">
      <c r="A273" s="322" t="s">
        <v>169</v>
      </c>
      <c r="B273" s="19" t="s">
        <v>700</v>
      </c>
      <c r="C273" s="322" t="s">
        <v>245</v>
      </c>
      <c r="D273" s="322">
        <v>17036</v>
      </c>
    </row>
    <row r="274" spans="1:4" ht="30" customHeight="1" x14ac:dyDescent="0.25">
      <c r="A274" s="322" t="s">
        <v>261</v>
      </c>
      <c r="B274" s="19" t="s">
        <v>569</v>
      </c>
      <c r="C274" s="322" t="s">
        <v>302</v>
      </c>
      <c r="D274" s="322">
        <v>17039</v>
      </c>
    </row>
    <row r="275" spans="1:4" ht="30" customHeight="1" x14ac:dyDescent="0.25">
      <c r="A275" s="18" t="s">
        <v>640</v>
      </c>
      <c r="B275" s="19" t="s">
        <v>641</v>
      </c>
      <c r="C275" s="322" t="s">
        <v>393</v>
      </c>
      <c r="D275" s="322">
        <v>17035</v>
      </c>
    </row>
    <row r="276" spans="1:4" ht="30" customHeight="1" x14ac:dyDescent="0.25">
      <c r="A276" s="18" t="s">
        <v>297</v>
      </c>
      <c r="B276" s="19" t="s">
        <v>642</v>
      </c>
      <c r="C276" s="322" t="s">
        <v>393</v>
      </c>
      <c r="D276" s="322">
        <v>17035</v>
      </c>
    </row>
    <row r="277" spans="1:4" ht="30" customHeight="1" x14ac:dyDescent="0.25">
      <c r="A277" s="322" t="s">
        <v>298</v>
      </c>
      <c r="B277" s="19" t="s">
        <v>701</v>
      </c>
      <c r="C277" s="322" t="s">
        <v>245</v>
      </c>
      <c r="D277" s="322">
        <v>17036</v>
      </c>
    </row>
    <row r="278" spans="1:4" ht="30" customHeight="1" x14ac:dyDescent="0.25">
      <c r="A278" s="18" t="s">
        <v>252</v>
      </c>
      <c r="B278" s="19" t="s">
        <v>618</v>
      </c>
      <c r="C278" s="322" t="s">
        <v>307</v>
      </c>
      <c r="D278" s="322">
        <v>17031</v>
      </c>
    </row>
    <row r="279" spans="1:4" ht="30" customHeight="1" x14ac:dyDescent="0.25">
      <c r="A279" s="322" t="s">
        <v>356</v>
      </c>
      <c r="B279" s="19" t="s">
        <v>455</v>
      </c>
      <c r="C279" s="322" t="s">
        <v>246</v>
      </c>
      <c r="D279" s="322">
        <v>17026</v>
      </c>
    </row>
    <row r="280" spans="1:4" ht="30" customHeight="1" x14ac:dyDescent="0.25">
      <c r="A280" s="322" t="s">
        <v>414</v>
      </c>
      <c r="B280" s="19" t="s">
        <v>509</v>
      </c>
      <c r="C280" s="322" t="s">
        <v>303</v>
      </c>
      <c r="D280" s="322">
        <v>17030</v>
      </c>
    </row>
    <row r="281" spans="1:4" ht="30" customHeight="1" x14ac:dyDescent="0.25">
      <c r="A281" s="322" t="s">
        <v>212</v>
      </c>
      <c r="B281" s="19" t="s">
        <v>570</v>
      </c>
      <c r="C281" s="322" t="s">
        <v>302</v>
      </c>
      <c r="D281" s="322">
        <v>17039</v>
      </c>
    </row>
    <row r="282" spans="1:4" ht="30" customHeight="1" x14ac:dyDescent="0.25">
      <c r="A282" s="322" t="s">
        <v>299</v>
      </c>
      <c r="B282" s="19" t="s">
        <v>757</v>
      </c>
      <c r="C282" s="322" t="s">
        <v>304</v>
      </c>
      <c r="D282" s="322">
        <v>17041</v>
      </c>
    </row>
    <row r="283" spans="1:4" ht="30" customHeight="1" x14ac:dyDescent="0.25">
      <c r="A283" s="322" t="s">
        <v>159</v>
      </c>
      <c r="B283" s="19" t="s">
        <v>510</v>
      </c>
      <c r="C283" s="322" t="s">
        <v>303</v>
      </c>
      <c r="D283" s="322">
        <v>17030</v>
      </c>
    </row>
    <row r="284" spans="1:4" ht="30" customHeight="1" x14ac:dyDescent="0.25">
      <c r="A284" s="322" t="s">
        <v>256</v>
      </c>
      <c r="B284" s="19" t="s">
        <v>511</v>
      </c>
      <c r="C284" s="322" t="s">
        <v>303</v>
      </c>
      <c r="D284" s="322">
        <v>17030</v>
      </c>
    </row>
    <row r="285" spans="1:4" ht="30" customHeight="1" x14ac:dyDescent="0.25">
      <c r="A285" s="322" t="s">
        <v>377</v>
      </c>
      <c r="B285" s="19" t="s">
        <v>456</v>
      </c>
      <c r="C285" s="322" t="s">
        <v>246</v>
      </c>
      <c r="D285" s="322">
        <v>17026</v>
      </c>
    </row>
    <row r="286" spans="1:4" ht="30" customHeight="1" x14ac:dyDescent="0.25">
      <c r="A286" s="18" t="s">
        <v>269</v>
      </c>
      <c r="B286" s="19" t="s">
        <v>619</v>
      </c>
      <c r="C286" s="322" t="s">
        <v>302</v>
      </c>
      <c r="D286" s="322">
        <v>17039</v>
      </c>
    </row>
    <row r="287" spans="1:4" ht="30" customHeight="1" x14ac:dyDescent="0.25">
      <c r="A287" s="322" t="s">
        <v>592</v>
      </c>
      <c r="B287" s="19" t="s">
        <v>593</v>
      </c>
      <c r="C287" s="322" t="s">
        <v>306</v>
      </c>
      <c r="D287" s="322">
        <v>17045</v>
      </c>
    </row>
    <row r="288" spans="1:4" ht="30" customHeight="1" x14ac:dyDescent="0.25">
      <c r="A288" s="322" t="s">
        <v>390</v>
      </c>
      <c r="B288" s="19" t="s">
        <v>594</v>
      </c>
      <c r="C288" s="322" t="s">
        <v>306</v>
      </c>
      <c r="D288" s="322">
        <v>17045</v>
      </c>
    </row>
    <row r="289" spans="1:4" ht="30" customHeight="1" x14ac:dyDescent="0.25">
      <c r="A289" s="18" t="s">
        <v>300</v>
      </c>
      <c r="B289" s="19" t="s">
        <v>643</v>
      </c>
      <c r="C289" s="322" t="s">
        <v>393</v>
      </c>
      <c r="D289" s="322">
        <v>17035</v>
      </c>
    </row>
    <row r="290" spans="1:4" ht="30" customHeight="1" x14ac:dyDescent="0.25">
      <c r="A290" s="322" t="s">
        <v>358</v>
      </c>
      <c r="B290" s="19" t="s">
        <v>595</v>
      </c>
      <c r="C290" s="322" t="s">
        <v>306</v>
      </c>
      <c r="D290" s="322">
        <v>17045</v>
      </c>
    </row>
    <row r="291" spans="1:4" ht="30" customHeight="1" x14ac:dyDescent="0.25">
      <c r="A291" s="322" t="s">
        <v>207</v>
      </c>
      <c r="B291" s="19" t="s">
        <v>702</v>
      </c>
      <c r="C291" s="322" t="s">
        <v>245</v>
      </c>
      <c r="D291" s="322">
        <v>17036</v>
      </c>
    </row>
    <row r="292" spans="1:4" ht="30" customHeight="1" x14ac:dyDescent="0.25">
      <c r="A292" s="18" t="s">
        <v>222</v>
      </c>
      <c r="B292" s="19" t="s">
        <v>620</v>
      </c>
      <c r="C292" s="322" t="s">
        <v>307</v>
      </c>
      <c r="D292" s="322">
        <v>17031</v>
      </c>
    </row>
    <row r="293" spans="1:4" ht="30" customHeight="1" x14ac:dyDescent="0.25">
      <c r="A293" s="18" t="s">
        <v>165</v>
      </c>
      <c r="B293" s="19" t="s">
        <v>457</v>
      </c>
      <c r="C293" s="322" t="s">
        <v>246</v>
      </c>
      <c r="D293" s="322">
        <v>17026</v>
      </c>
    </row>
    <row r="294" spans="1:4" ht="30" customHeight="1" x14ac:dyDescent="0.25">
      <c r="A294" s="18" t="s">
        <v>703</v>
      </c>
      <c r="B294" s="19" t="s">
        <v>704</v>
      </c>
      <c r="C294" s="322" t="s">
        <v>245</v>
      </c>
      <c r="D294" s="322">
        <v>17036</v>
      </c>
    </row>
    <row r="295" spans="1:4" ht="30" customHeight="1" x14ac:dyDescent="0.25">
      <c r="A295" s="18" t="s">
        <v>205</v>
      </c>
      <c r="B295" s="19" t="s">
        <v>524</v>
      </c>
      <c r="C295" s="322" t="s">
        <v>305</v>
      </c>
      <c r="D295" s="322">
        <v>17040</v>
      </c>
    </row>
    <row r="296" spans="1:4" ht="30" customHeight="1" x14ac:dyDescent="0.25">
      <c r="A296" s="322" t="s">
        <v>206</v>
      </c>
      <c r="B296" s="19" t="s">
        <v>525</v>
      </c>
      <c r="C296" s="322" t="s">
        <v>305</v>
      </c>
      <c r="D296" s="322">
        <v>17040</v>
      </c>
    </row>
    <row r="297" spans="1:4" ht="30" customHeight="1" x14ac:dyDescent="0.25">
      <c r="A297" s="322" t="s">
        <v>391</v>
      </c>
      <c r="B297" s="19" t="s">
        <v>596</v>
      </c>
      <c r="C297" s="322" t="s">
        <v>306</v>
      </c>
      <c r="D297" s="322">
        <v>17045</v>
      </c>
    </row>
    <row r="298" spans="1:4" ht="30" customHeight="1" x14ac:dyDescent="0.25">
      <c r="A298" s="18" t="s">
        <v>163</v>
      </c>
      <c r="B298" s="19" t="s">
        <v>644</v>
      </c>
      <c r="C298" s="322" t="s">
        <v>393</v>
      </c>
      <c r="D298" s="322">
        <v>17035</v>
      </c>
    </row>
    <row r="299" spans="1:4" ht="30" customHeight="1" x14ac:dyDescent="0.25">
      <c r="A299" s="18" t="s">
        <v>412</v>
      </c>
      <c r="B299" s="19" t="s">
        <v>758</v>
      </c>
      <c r="C299" s="322" t="s">
        <v>304</v>
      </c>
      <c r="D299" s="322">
        <v>17041</v>
      </c>
    </row>
    <row r="300" spans="1:4" ht="30" customHeight="1" x14ac:dyDescent="0.25">
      <c r="A300" s="18" t="s">
        <v>571</v>
      </c>
      <c r="B300" s="19" t="s">
        <v>572</v>
      </c>
      <c r="C300" s="322" t="s">
        <v>302</v>
      </c>
      <c r="D300" s="322">
        <v>17039</v>
      </c>
    </row>
    <row r="301" spans="1:4" ht="30" customHeight="1" x14ac:dyDescent="0.25">
      <c r="A301" s="322" t="s">
        <v>324</v>
      </c>
      <c r="B301" s="19" t="s">
        <v>512</v>
      </c>
      <c r="C301" s="322" t="s">
        <v>303</v>
      </c>
      <c r="D301" s="322">
        <v>17030</v>
      </c>
    </row>
    <row r="302" spans="1:4" ht="30" customHeight="1" x14ac:dyDescent="0.25">
      <c r="A302" s="18" t="s">
        <v>513</v>
      </c>
      <c r="B302" s="19" t="s">
        <v>514</v>
      </c>
      <c r="C302" s="322" t="s">
        <v>303</v>
      </c>
      <c r="D302" s="322">
        <v>17030</v>
      </c>
    </row>
    <row r="303" spans="1:4" ht="30" customHeight="1" x14ac:dyDescent="0.25">
      <c r="A303" s="322" t="s">
        <v>171</v>
      </c>
      <c r="B303" s="19" t="s">
        <v>759</v>
      </c>
      <c r="C303" s="322" t="s">
        <v>304</v>
      </c>
      <c r="D303" s="322">
        <v>17041</v>
      </c>
    </row>
    <row r="304" spans="1:4" ht="30" customHeight="1" x14ac:dyDescent="0.25">
      <c r="A304" s="322" t="s">
        <v>418</v>
      </c>
      <c r="B304" s="19" t="s">
        <v>526</v>
      </c>
      <c r="C304" s="322" t="s">
        <v>305</v>
      </c>
      <c r="D304" s="322">
        <v>17040</v>
      </c>
    </row>
    <row r="305" spans="1:4" ht="30" customHeight="1" x14ac:dyDescent="0.25">
      <c r="A305" s="322" t="s">
        <v>301</v>
      </c>
      <c r="B305" s="19" t="s">
        <v>573</v>
      </c>
      <c r="C305" s="322" t="s">
        <v>302</v>
      </c>
      <c r="D305" s="322">
        <v>17039</v>
      </c>
    </row>
    <row r="306" spans="1:4" ht="30" customHeight="1" x14ac:dyDescent="0.25">
      <c r="A306" s="18" t="s">
        <v>221</v>
      </c>
      <c r="B306" s="19" t="s">
        <v>458</v>
      </c>
      <c r="C306" s="322" t="s">
        <v>246</v>
      </c>
      <c r="D306" s="322">
        <v>17026</v>
      </c>
    </row>
    <row r="307" spans="1:4" ht="30" customHeight="1" x14ac:dyDescent="0.25">
      <c r="A307" s="322"/>
      <c r="B307" s="19"/>
      <c r="C307" s="322"/>
      <c r="D307" s="322"/>
    </row>
    <row r="308" spans="1:4" ht="30" customHeight="1" x14ac:dyDescent="0.25">
      <c r="A308" s="18"/>
      <c r="B308" s="19"/>
      <c r="C308" s="322"/>
      <c r="D308" s="322"/>
    </row>
    <row r="309" spans="1:4" ht="30" customHeight="1" x14ac:dyDescent="0.25">
      <c r="A309" s="18"/>
      <c r="B309" s="19"/>
      <c r="C309" s="322"/>
      <c r="D309" s="322"/>
    </row>
    <row r="310" spans="1:4" ht="30" customHeight="1" x14ac:dyDescent="0.25">
      <c r="A310" s="18"/>
      <c r="B310" s="19"/>
      <c r="C310" s="322"/>
      <c r="D310" s="322"/>
    </row>
    <row r="311" spans="1:4" ht="30" customHeight="1" x14ac:dyDescent="0.25">
      <c r="A311" s="18"/>
      <c r="B311" s="19"/>
      <c r="C311" s="322"/>
      <c r="D311" s="322"/>
    </row>
    <row r="312" spans="1:4" ht="30" customHeight="1" x14ac:dyDescent="0.25">
      <c r="A312" s="18"/>
      <c r="B312" s="19"/>
      <c r="C312" s="322"/>
      <c r="D312" s="322"/>
    </row>
    <row r="313" spans="1:4" ht="30" customHeight="1" x14ac:dyDescent="0.25">
      <c r="A313" s="18"/>
      <c r="B313" s="19"/>
      <c r="C313" s="322"/>
      <c r="D313" s="322"/>
    </row>
    <row r="314" spans="1:4" ht="30" customHeight="1" x14ac:dyDescent="0.25">
      <c r="A314" s="18"/>
      <c r="B314" s="19"/>
      <c r="C314" s="322"/>
      <c r="D314" s="322"/>
    </row>
    <row r="315" spans="1:4" ht="30" customHeight="1" x14ac:dyDescent="0.25">
      <c r="A315" s="18"/>
      <c r="B315" s="19"/>
      <c r="C315" s="322"/>
      <c r="D315" s="322"/>
    </row>
    <row r="316" spans="1:4" ht="30" customHeight="1" x14ac:dyDescent="0.25">
      <c r="A316" s="18"/>
      <c r="B316" s="19"/>
      <c r="C316" s="322"/>
      <c r="D316" s="322"/>
    </row>
    <row r="317" spans="1:4" ht="30" customHeight="1" x14ac:dyDescent="0.25">
      <c r="A317" s="18"/>
      <c r="B317" s="19"/>
      <c r="C317" s="322"/>
      <c r="D317" s="322"/>
    </row>
    <row r="318" spans="1:4" ht="30" customHeight="1" x14ac:dyDescent="0.25">
      <c r="A318" s="18"/>
      <c r="B318" s="19"/>
      <c r="C318" s="322"/>
      <c r="D318" s="322"/>
    </row>
    <row r="319" spans="1:4" ht="30" customHeight="1" x14ac:dyDescent="0.25">
      <c r="A319" s="18"/>
      <c r="B319" s="19"/>
      <c r="C319" s="322"/>
      <c r="D319" s="322"/>
    </row>
    <row r="320" spans="1:4" ht="30" customHeight="1" x14ac:dyDescent="0.25">
      <c r="A320" s="18"/>
      <c r="B320" s="19"/>
      <c r="C320" s="322"/>
      <c r="D320" s="322"/>
    </row>
    <row r="321" spans="1:4" ht="30" customHeight="1" x14ac:dyDescent="0.25">
      <c r="A321" s="18"/>
      <c r="B321" s="19"/>
      <c r="C321" s="322"/>
      <c r="D321" s="322"/>
    </row>
    <row r="322" spans="1:4" ht="30" customHeight="1" x14ac:dyDescent="0.25">
      <c r="A322" s="18"/>
      <c r="B322" s="19"/>
      <c r="C322" s="322"/>
      <c r="D322" s="322"/>
    </row>
    <row r="323" spans="1:4" ht="30" customHeight="1" x14ac:dyDescent="0.25">
      <c r="A323" s="18"/>
      <c r="B323" s="19"/>
      <c r="C323" s="322"/>
      <c r="D323" s="322"/>
    </row>
    <row r="324" spans="1:4" ht="30" customHeight="1" x14ac:dyDescent="0.25">
      <c r="A324" s="18"/>
      <c r="B324" s="19"/>
      <c r="C324" s="322"/>
      <c r="D324" s="322"/>
    </row>
    <row r="325" spans="1:4" ht="30" customHeight="1" x14ac:dyDescent="0.25">
      <c r="A325" s="18"/>
      <c r="B325" s="19"/>
      <c r="C325" s="322"/>
      <c r="D325" s="322"/>
    </row>
    <row r="326" spans="1:4" ht="30" customHeight="1" x14ac:dyDescent="0.25">
      <c r="A326" s="18"/>
      <c r="B326" s="19"/>
      <c r="C326" s="322"/>
      <c r="D326" s="322"/>
    </row>
    <row r="327" spans="1:4" ht="30" customHeight="1" x14ac:dyDescent="0.25">
      <c r="A327" s="18"/>
      <c r="B327" s="19"/>
      <c r="C327" s="322"/>
      <c r="D327" s="322"/>
    </row>
    <row r="328" spans="1:4" ht="30" customHeight="1" x14ac:dyDescent="0.25">
      <c r="A328" s="18"/>
      <c r="B328" s="19"/>
      <c r="C328" s="322"/>
      <c r="D328" s="322"/>
    </row>
    <row r="329" spans="1:4" ht="30" customHeight="1" x14ac:dyDescent="0.25">
      <c r="A329" s="18"/>
      <c r="B329" s="19"/>
      <c r="C329" s="322"/>
      <c r="D329" s="322"/>
    </row>
    <row r="330" spans="1:4" ht="30" customHeight="1" x14ac:dyDescent="0.25">
      <c r="A330" s="18"/>
      <c r="B330" s="19"/>
      <c r="C330" s="322"/>
      <c r="D330" s="322"/>
    </row>
    <row r="331" spans="1:4" ht="30" customHeight="1" x14ac:dyDescent="0.25">
      <c r="A331" s="18"/>
      <c r="B331" s="19"/>
      <c r="C331" s="322"/>
      <c r="D331" s="322"/>
    </row>
    <row r="332" spans="1:4" ht="30" customHeight="1" x14ac:dyDescent="0.25">
      <c r="A332" s="18"/>
      <c r="B332" s="19"/>
      <c r="C332" s="322"/>
      <c r="D332" s="322"/>
    </row>
    <row r="333" spans="1:4" ht="30" customHeight="1" x14ac:dyDescent="0.25">
      <c r="A333" s="18"/>
      <c r="B333" s="19"/>
      <c r="C333" s="322"/>
      <c r="D333" s="322"/>
    </row>
    <row r="334" spans="1:4" ht="30" customHeight="1" x14ac:dyDescent="0.25">
      <c r="A334" s="18"/>
      <c r="B334" s="19"/>
      <c r="C334" s="322"/>
      <c r="D334" s="322"/>
    </row>
    <row r="335" spans="1:4" ht="30" customHeight="1" x14ac:dyDescent="0.25">
      <c r="A335" s="18"/>
      <c r="B335" s="19"/>
      <c r="C335" s="322"/>
      <c r="D335" s="322"/>
    </row>
    <row r="336" spans="1:4" ht="30" customHeight="1" x14ac:dyDescent="0.25">
      <c r="A336" s="18"/>
      <c r="B336" s="19"/>
      <c r="C336" s="322"/>
      <c r="D336" s="322"/>
    </row>
    <row r="337" spans="1:4" ht="30" customHeight="1" x14ac:dyDescent="0.25">
      <c r="A337" s="18"/>
      <c r="B337" s="19"/>
      <c r="C337" s="322"/>
      <c r="D337" s="322"/>
    </row>
    <row r="338" spans="1:4" ht="30" customHeight="1" x14ac:dyDescent="0.25">
      <c r="A338" s="18"/>
      <c r="B338" s="19"/>
      <c r="C338" s="322"/>
      <c r="D338" s="322"/>
    </row>
    <row r="339" spans="1:4" ht="30" customHeight="1" x14ac:dyDescent="0.25">
      <c r="A339" s="18"/>
      <c r="B339" s="19"/>
      <c r="C339" s="322"/>
      <c r="D339" s="322"/>
    </row>
    <row r="340" spans="1:4" ht="30" customHeight="1" x14ac:dyDescent="0.25">
      <c r="A340" s="18"/>
      <c r="B340" s="19"/>
      <c r="C340" s="322"/>
      <c r="D340" s="322"/>
    </row>
    <row r="341" spans="1:4" ht="30" customHeight="1" x14ac:dyDescent="0.25">
      <c r="A341" s="18"/>
      <c r="B341" s="19"/>
      <c r="C341" s="322"/>
      <c r="D341" s="322"/>
    </row>
    <row r="342" spans="1:4" ht="30" customHeight="1" x14ac:dyDescent="0.25">
      <c r="A342" s="18"/>
      <c r="B342" s="19"/>
      <c r="C342" s="322"/>
      <c r="D342" s="322"/>
    </row>
    <row r="343" spans="1:4" ht="30" customHeight="1" x14ac:dyDescent="0.25">
      <c r="A343" s="18"/>
      <c r="B343" s="19"/>
      <c r="C343" s="322"/>
      <c r="D343" s="322"/>
    </row>
    <row r="344" spans="1:4" ht="30" customHeight="1" x14ac:dyDescent="0.25">
      <c r="A344" s="18"/>
      <c r="B344" s="19"/>
      <c r="C344" s="322"/>
      <c r="D344" s="322"/>
    </row>
    <row r="345" spans="1:4" ht="30" customHeight="1" x14ac:dyDescent="0.25">
      <c r="A345" s="18"/>
      <c r="B345" s="19"/>
      <c r="C345" s="322"/>
      <c r="D345" s="322"/>
    </row>
    <row r="346" spans="1:4" ht="30" customHeight="1" x14ac:dyDescent="0.25">
      <c r="A346" s="18"/>
      <c r="B346" s="19"/>
      <c r="C346" s="322"/>
      <c r="D346" s="322"/>
    </row>
    <row r="347" spans="1:4" ht="30" customHeight="1" x14ac:dyDescent="0.25">
      <c r="A347" s="18"/>
      <c r="B347" s="19"/>
      <c r="C347" s="322"/>
      <c r="D347" s="322"/>
    </row>
    <row r="348" spans="1:4" ht="30" customHeight="1" x14ac:dyDescent="0.25">
      <c r="A348" s="18"/>
      <c r="B348" s="19"/>
      <c r="C348" s="322"/>
      <c r="D348" s="322"/>
    </row>
    <row r="349" spans="1:4" ht="30" customHeight="1" x14ac:dyDescent="0.25">
      <c r="A349" s="18"/>
      <c r="B349" s="19"/>
      <c r="C349" s="322"/>
      <c r="D349" s="322"/>
    </row>
    <row r="350" spans="1:4" ht="30" customHeight="1" x14ac:dyDescent="0.25">
      <c r="A350" s="18"/>
      <c r="B350" s="19"/>
      <c r="C350" s="322"/>
      <c r="D350" s="322"/>
    </row>
    <row r="351" spans="1:4" ht="30" customHeight="1" x14ac:dyDescent="0.25">
      <c r="A351" s="18"/>
      <c r="B351" s="19"/>
      <c r="C351" s="322"/>
      <c r="D351" s="322"/>
    </row>
    <row r="352" spans="1:4" ht="30" customHeight="1" x14ac:dyDescent="0.25">
      <c r="A352" s="18"/>
      <c r="B352" s="19"/>
      <c r="C352" s="322"/>
      <c r="D352" s="322"/>
    </row>
    <row r="353" spans="1:4" ht="30" customHeight="1" x14ac:dyDescent="0.25">
      <c r="A353" s="18"/>
      <c r="B353" s="19"/>
      <c r="C353" s="322"/>
      <c r="D353" s="322"/>
    </row>
    <row r="354" spans="1:4" ht="30" customHeight="1" x14ac:dyDescent="0.25">
      <c r="A354" s="18"/>
      <c r="B354" s="19"/>
      <c r="C354" s="322"/>
      <c r="D354" s="322"/>
    </row>
    <row r="355" spans="1:4" ht="30" customHeight="1" x14ac:dyDescent="0.25">
      <c r="A355" s="18"/>
      <c r="B355" s="19"/>
      <c r="C355" s="322"/>
      <c r="D355" s="322"/>
    </row>
    <row r="356" spans="1:4" ht="30" customHeight="1" x14ac:dyDescent="0.25">
      <c r="A356" s="18"/>
      <c r="B356" s="19"/>
      <c r="C356" s="322"/>
      <c r="D356" s="322"/>
    </row>
    <row r="357" spans="1:4" ht="30" customHeight="1" x14ac:dyDescent="0.25">
      <c r="A357" s="18"/>
      <c r="B357" s="19"/>
      <c r="C357" s="322"/>
      <c r="D357" s="322"/>
    </row>
    <row r="358" spans="1:4" ht="30" customHeight="1" x14ac:dyDescent="0.25">
      <c r="A358" s="18"/>
      <c r="B358" s="19"/>
      <c r="C358" s="322"/>
      <c r="D358" s="322"/>
    </row>
    <row r="359" spans="1:4" ht="30" customHeight="1" x14ac:dyDescent="0.25">
      <c r="A359" s="18"/>
      <c r="B359" s="19"/>
      <c r="C359" s="322"/>
      <c r="D359" s="322"/>
    </row>
    <row r="360" spans="1:4" ht="30" customHeight="1" x14ac:dyDescent="0.25">
      <c r="A360" s="18"/>
      <c r="B360" s="19"/>
      <c r="C360" s="322"/>
      <c r="D360" s="322"/>
    </row>
    <row r="361" spans="1:4" ht="30" customHeight="1" x14ac:dyDescent="0.25">
      <c r="A361" s="18"/>
      <c r="B361" s="19"/>
      <c r="C361" s="322"/>
      <c r="D361" s="322"/>
    </row>
    <row r="362" spans="1:4" ht="30" customHeight="1" x14ac:dyDescent="0.25">
      <c r="A362" s="18"/>
      <c r="B362" s="19"/>
      <c r="C362" s="322"/>
      <c r="D362" s="322"/>
    </row>
    <row r="363" spans="1:4" ht="30" customHeight="1" x14ac:dyDescent="0.25">
      <c r="A363" s="18"/>
      <c r="B363" s="19"/>
      <c r="C363" s="322"/>
      <c r="D363" s="322"/>
    </row>
    <row r="364" spans="1:4" ht="30" customHeight="1" x14ac:dyDescent="0.25">
      <c r="A364" s="18"/>
      <c r="B364" s="19"/>
      <c r="C364" s="322"/>
      <c r="D364" s="322"/>
    </row>
    <row r="365" spans="1:4" ht="30" customHeight="1" x14ac:dyDescent="0.25">
      <c r="A365" s="18"/>
      <c r="B365" s="19"/>
      <c r="C365" s="322"/>
      <c r="D365" s="322"/>
    </row>
    <row r="366" spans="1:4" ht="30" customHeight="1" x14ac:dyDescent="0.25">
      <c r="A366" s="18"/>
      <c r="B366" s="19"/>
      <c r="C366" s="322"/>
      <c r="D366" s="322"/>
    </row>
    <row r="367" spans="1:4" ht="30" customHeight="1" x14ac:dyDescent="0.25">
      <c r="A367" s="18"/>
      <c r="B367" s="19"/>
      <c r="C367" s="322"/>
      <c r="D367" s="322"/>
    </row>
    <row r="368" spans="1:4" ht="30" customHeight="1" x14ac:dyDescent="0.25">
      <c r="A368" s="18"/>
      <c r="B368" s="19"/>
      <c r="C368" s="322"/>
      <c r="D368" s="322"/>
    </row>
    <row r="369" spans="1:4" ht="30" customHeight="1" x14ac:dyDescent="0.25">
      <c r="A369" s="18"/>
      <c r="B369" s="19"/>
      <c r="C369" s="322"/>
      <c r="D369" s="322"/>
    </row>
    <row r="370" spans="1:4" ht="30" customHeight="1" x14ac:dyDescent="0.25">
      <c r="A370" s="18"/>
      <c r="B370" s="19"/>
      <c r="C370" s="322"/>
      <c r="D370" s="322"/>
    </row>
    <row r="371" spans="1:4" ht="30" customHeight="1" x14ac:dyDescent="0.25">
      <c r="A371" s="18"/>
      <c r="B371" s="19"/>
      <c r="C371" s="322"/>
      <c r="D371" s="322"/>
    </row>
    <row r="372" spans="1:4" ht="30" customHeight="1" x14ac:dyDescent="0.25">
      <c r="A372" s="18"/>
      <c r="B372" s="19"/>
      <c r="C372" s="322"/>
      <c r="D372" s="322"/>
    </row>
    <row r="373" spans="1:4" ht="30" customHeight="1" x14ac:dyDescent="0.25">
      <c r="A373" s="18"/>
      <c r="B373" s="19"/>
      <c r="C373" s="322"/>
      <c r="D373" s="322"/>
    </row>
    <row r="374" spans="1:4" ht="30" customHeight="1" x14ac:dyDescent="0.25">
      <c r="A374" s="18"/>
      <c r="B374" s="19"/>
      <c r="C374" s="322"/>
      <c r="D374" s="322"/>
    </row>
    <row r="375" spans="1:4" ht="30" customHeight="1" x14ac:dyDescent="0.25">
      <c r="A375" s="18"/>
      <c r="B375" s="19"/>
      <c r="C375" s="322"/>
      <c r="D375" s="322"/>
    </row>
    <row r="376" spans="1:4" ht="30" customHeight="1" x14ac:dyDescent="0.25">
      <c r="A376" s="18"/>
      <c r="B376" s="19"/>
      <c r="C376" s="322"/>
      <c r="D376" s="322"/>
    </row>
    <row r="377" spans="1:4" ht="30" customHeight="1" x14ac:dyDescent="0.25">
      <c r="A377" s="18"/>
      <c r="B377" s="19"/>
      <c r="C377" s="322"/>
      <c r="D377" s="322"/>
    </row>
    <row r="378" spans="1:4" ht="30" customHeight="1" x14ac:dyDescent="0.25">
      <c r="A378" s="18"/>
      <c r="B378" s="19"/>
      <c r="C378" s="322"/>
      <c r="D378" s="322"/>
    </row>
    <row r="379" spans="1:4" ht="30" customHeight="1" x14ac:dyDescent="0.25">
      <c r="A379" s="18"/>
      <c r="B379" s="19"/>
      <c r="C379" s="322"/>
      <c r="D379" s="322"/>
    </row>
    <row r="380" spans="1:4" ht="30" customHeight="1" x14ac:dyDescent="0.25">
      <c r="A380" s="18"/>
      <c r="B380" s="19"/>
      <c r="C380" s="322"/>
      <c r="D380" s="322"/>
    </row>
    <row r="381" spans="1:4" ht="30" customHeight="1" x14ac:dyDescent="0.25">
      <c r="A381" s="18"/>
      <c r="B381" s="19"/>
      <c r="C381" s="322"/>
      <c r="D381" s="322"/>
    </row>
    <row r="382" spans="1:4" ht="30" customHeight="1" x14ac:dyDescent="0.25">
      <c r="A382" s="18"/>
      <c r="B382" s="19"/>
      <c r="C382" s="322"/>
      <c r="D382" s="322"/>
    </row>
    <row r="383" spans="1:4" ht="30" customHeight="1" x14ac:dyDescent="0.25">
      <c r="A383" s="18"/>
      <c r="B383" s="19"/>
      <c r="C383" s="322"/>
      <c r="D383" s="322"/>
    </row>
    <row r="384" spans="1:4" ht="30" customHeight="1" x14ac:dyDescent="0.25">
      <c r="A384" s="18"/>
      <c r="B384" s="19"/>
      <c r="C384" s="322"/>
      <c r="D384" s="322"/>
    </row>
    <row r="385" spans="1:4" ht="30" customHeight="1" x14ac:dyDescent="0.25">
      <c r="A385" s="18"/>
      <c r="B385" s="19"/>
      <c r="C385" s="322"/>
      <c r="D385" s="322"/>
    </row>
    <row r="386" spans="1:4" ht="30" customHeight="1" x14ac:dyDescent="0.25">
      <c r="A386" s="18"/>
      <c r="B386" s="19"/>
      <c r="C386" s="322"/>
      <c r="D386" s="322"/>
    </row>
    <row r="387" spans="1:4" ht="30" customHeight="1" x14ac:dyDescent="0.25">
      <c r="A387" s="18"/>
      <c r="B387" s="19"/>
      <c r="C387" s="322"/>
      <c r="D387" s="322"/>
    </row>
    <row r="388" spans="1:4" ht="30" customHeight="1" x14ac:dyDescent="0.25">
      <c r="A388" s="18"/>
      <c r="B388" s="19"/>
      <c r="C388" s="322"/>
      <c r="D388" s="322"/>
    </row>
    <row r="389" spans="1:4" ht="30" customHeight="1" x14ac:dyDescent="0.25">
      <c r="A389" s="18"/>
      <c r="B389" s="19"/>
      <c r="C389" s="322"/>
      <c r="D389" s="322"/>
    </row>
    <row r="390" spans="1:4" ht="30" customHeight="1" x14ac:dyDescent="0.25">
      <c r="A390" s="18"/>
      <c r="B390" s="19"/>
      <c r="C390" s="322"/>
      <c r="D390" s="322"/>
    </row>
    <row r="391" spans="1:4" ht="30" customHeight="1" x14ac:dyDescent="0.25">
      <c r="A391" s="18"/>
      <c r="B391" s="19"/>
      <c r="C391" s="322"/>
      <c r="D391" s="322"/>
    </row>
    <row r="392" spans="1:4" ht="30" customHeight="1" x14ac:dyDescent="0.25">
      <c r="A392" s="18"/>
      <c r="B392" s="19"/>
      <c r="C392" s="322"/>
      <c r="D392" s="322"/>
    </row>
    <row r="393" spans="1:4" ht="30" customHeight="1" x14ac:dyDescent="0.25">
      <c r="A393" s="18"/>
      <c r="B393" s="19"/>
      <c r="C393" s="322"/>
      <c r="D393" s="322"/>
    </row>
    <row r="394" spans="1:4" ht="30" customHeight="1" x14ac:dyDescent="0.25">
      <c r="A394" s="18"/>
      <c r="B394" s="19"/>
      <c r="C394" s="322"/>
      <c r="D394" s="322"/>
    </row>
    <row r="395" spans="1:4" ht="30" customHeight="1" x14ac:dyDescent="0.25">
      <c r="A395" s="18"/>
      <c r="B395" s="19"/>
      <c r="C395" s="322"/>
      <c r="D395" s="322"/>
    </row>
    <row r="396" spans="1:4" ht="30" customHeight="1" x14ac:dyDescent="0.25">
      <c r="A396" s="22"/>
      <c r="B396" s="199"/>
      <c r="C396" s="20"/>
      <c r="D396" s="20"/>
    </row>
    <row r="397" spans="1:4" ht="30" customHeight="1" x14ac:dyDescent="0.25">
      <c r="B397" s="17"/>
    </row>
    <row r="398" spans="1:4" ht="30" customHeight="1" x14ac:dyDescent="0.25">
      <c r="B398" s="17"/>
    </row>
    <row r="399" spans="1:4" ht="30" customHeight="1" x14ac:dyDescent="0.25">
      <c r="B399" s="17"/>
    </row>
    <row r="400" spans="1:4" ht="30" customHeight="1" x14ac:dyDescent="0.25">
      <c r="B400" s="17"/>
    </row>
    <row r="401" spans="2:2" ht="39.950000000000003" customHeight="1" x14ac:dyDescent="0.25">
      <c r="B401" s="17"/>
    </row>
    <row r="402" spans="2:2" ht="39.950000000000003" customHeight="1" x14ac:dyDescent="0.25">
      <c r="B402" s="17"/>
    </row>
    <row r="403" spans="2:2" ht="39.950000000000003" customHeight="1" x14ac:dyDescent="0.25">
      <c r="B403" s="17"/>
    </row>
    <row r="404" spans="2:2" ht="39.950000000000003" customHeight="1" x14ac:dyDescent="0.25">
      <c r="B404" s="17"/>
    </row>
    <row r="405" spans="2:2" ht="39.950000000000003" customHeight="1" x14ac:dyDescent="0.25">
      <c r="B405" s="17"/>
    </row>
    <row r="406" spans="2:2" ht="39.950000000000003" customHeight="1" x14ac:dyDescent="0.25">
      <c r="B406" s="17"/>
    </row>
    <row r="407" spans="2:2" ht="39.950000000000003" customHeight="1" x14ac:dyDescent="0.25">
      <c r="B407" s="17"/>
    </row>
    <row r="408" spans="2:2" ht="39.950000000000003" customHeight="1" x14ac:dyDescent="0.25">
      <c r="B408" s="17"/>
    </row>
    <row r="409" spans="2:2" ht="39.950000000000003" customHeight="1" x14ac:dyDescent="0.25">
      <c r="B409" s="17"/>
    </row>
    <row r="410" spans="2:2" ht="39.950000000000003" customHeight="1" x14ac:dyDescent="0.25">
      <c r="B410" s="17"/>
    </row>
    <row r="411" spans="2:2" ht="39.950000000000003" customHeight="1" x14ac:dyDescent="0.25">
      <c r="B411" s="17"/>
    </row>
    <row r="412" spans="2:2" ht="39.950000000000003" customHeight="1" x14ac:dyDescent="0.25">
      <c r="B412" s="17"/>
    </row>
    <row r="413" spans="2:2" x14ac:dyDescent="0.25">
      <c r="B413" s="17"/>
    </row>
    <row r="414" spans="2:2" x14ac:dyDescent="0.25">
      <c r="B414" s="17"/>
    </row>
    <row r="415" spans="2:2" x14ac:dyDescent="0.25">
      <c r="B415" s="17"/>
    </row>
    <row r="416" spans="2:2" x14ac:dyDescent="0.25">
      <c r="B416" s="17"/>
    </row>
    <row r="417" spans="2:2" x14ac:dyDescent="0.25">
      <c r="B417" s="17"/>
    </row>
    <row r="418" spans="2:2" x14ac:dyDescent="0.25">
      <c r="B418" s="17"/>
    </row>
    <row r="419" spans="2:2" x14ac:dyDescent="0.25">
      <c r="B419" s="17"/>
    </row>
    <row r="420" spans="2:2" x14ac:dyDescent="0.25">
      <c r="B420" s="17"/>
    </row>
    <row r="421" spans="2:2" x14ac:dyDescent="0.25">
      <c r="B421" s="17"/>
    </row>
    <row r="422" spans="2:2" x14ac:dyDescent="0.25">
      <c r="B422" s="17"/>
    </row>
    <row r="423" spans="2:2" x14ac:dyDescent="0.25">
      <c r="B423" s="17"/>
    </row>
    <row r="424" spans="2:2" x14ac:dyDescent="0.25">
      <c r="B424" s="17"/>
    </row>
    <row r="425" spans="2:2" x14ac:dyDescent="0.25">
      <c r="B425" s="17"/>
    </row>
    <row r="426" spans="2:2" x14ac:dyDescent="0.25">
      <c r="B426" s="17"/>
    </row>
    <row r="427" spans="2:2" x14ac:dyDescent="0.25">
      <c r="B427" s="17"/>
    </row>
    <row r="428" spans="2:2" x14ac:dyDescent="0.25">
      <c r="B428" s="17"/>
    </row>
    <row r="429" spans="2:2" x14ac:dyDescent="0.25">
      <c r="B429" s="17"/>
    </row>
    <row r="430" spans="2:2" x14ac:dyDescent="0.25">
      <c r="B430" s="17"/>
    </row>
    <row r="431" spans="2:2" x14ac:dyDescent="0.25">
      <c r="B431" s="17"/>
    </row>
    <row r="432" spans="2:2" x14ac:dyDescent="0.25">
      <c r="B432" s="17"/>
    </row>
    <row r="433" spans="2:2" x14ac:dyDescent="0.25">
      <c r="B433" s="17"/>
    </row>
    <row r="434" spans="2:2" x14ac:dyDescent="0.25">
      <c r="B434" s="17"/>
    </row>
    <row r="435" spans="2:2" x14ac:dyDescent="0.25">
      <c r="B435" s="17"/>
    </row>
    <row r="436" spans="2:2" x14ac:dyDescent="0.25">
      <c r="B436" s="17"/>
    </row>
    <row r="437" spans="2:2" x14ac:dyDescent="0.25">
      <c r="B437" s="17"/>
    </row>
    <row r="438" spans="2:2" x14ac:dyDescent="0.25">
      <c r="B438" s="17"/>
    </row>
    <row r="439" spans="2:2" x14ac:dyDescent="0.25">
      <c r="B439" s="17"/>
    </row>
    <row r="440" spans="2:2" x14ac:dyDescent="0.25">
      <c r="B440" s="17"/>
    </row>
    <row r="441" spans="2:2" x14ac:dyDescent="0.25">
      <c r="B441" s="17"/>
    </row>
    <row r="442" spans="2:2" x14ac:dyDescent="0.25">
      <c r="B442" s="17"/>
    </row>
    <row r="443" spans="2:2" x14ac:dyDescent="0.25">
      <c r="B443" s="17"/>
    </row>
    <row r="444" spans="2:2" x14ac:dyDescent="0.25">
      <c r="B444" s="17"/>
    </row>
    <row r="445" spans="2:2" x14ac:dyDescent="0.25">
      <c r="B445" s="17"/>
    </row>
    <row r="446" spans="2:2" x14ac:dyDescent="0.25">
      <c r="B446" s="17"/>
    </row>
    <row r="447" spans="2:2" x14ac:dyDescent="0.25">
      <c r="B447" s="17"/>
    </row>
    <row r="448" spans="2:2" x14ac:dyDescent="0.25">
      <c r="B448" s="17"/>
    </row>
    <row r="449" spans="2:2" x14ac:dyDescent="0.25">
      <c r="B449" s="17"/>
    </row>
    <row r="450" spans="2:2" x14ac:dyDescent="0.25">
      <c r="B450" s="17"/>
    </row>
    <row r="451" spans="2:2" x14ac:dyDescent="0.25">
      <c r="B451" s="17"/>
    </row>
    <row r="452" spans="2:2" x14ac:dyDescent="0.25">
      <c r="B452" s="17"/>
    </row>
    <row r="453" spans="2:2" x14ac:dyDescent="0.25">
      <c r="B453" s="17"/>
    </row>
    <row r="454" spans="2:2" x14ac:dyDescent="0.25">
      <c r="B454" s="17"/>
    </row>
    <row r="455" spans="2:2" x14ac:dyDescent="0.25">
      <c r="B455" s="17"/>
    </row>
    <row r="456" spans="2:2" x14ac:dyDescent="0.25">
      <c r="B456" s="17"/>
    </row>
    <row r="457" spans="2:2" x14ac:dyDescent="0.25">
      <c r="B457" s="17"/>
    </row>
    <row r="458" spans="2:2" x14ac:dyDescent="0.25">
      <c r="B458" s="17"/>
    </row>
    <row r="459" spans="2:2" x14ac:dyDescent="0.25">
      <c r="B459" s="17"/>
    </row>
    <row r="460" spans="2:2" x14ac:dyDescent="0.25">
      <c r="B460" s="17"/>
    </row>
    <row r="461" spans="2:2" x14ac:dyDescent="0.25">
      <c r="B461" s="17"/>
    </row>
    <row r="462" spans="2:2" x14ac:dyDescent="0.25">
      <c r="B462" s="17"/>
    </row>
    <row r="463" spans="2:2" x14ac:dyDescent="0.25">
      <c r="B463" s="17"/>
    </row>
    <row r="464" spans="2:2" x14ac:dyDescent="0.25">
      <c r="B464" s="17"/>
    </row>
    <row r="477" spans="2:2" x14ac:dyDescent="0.25">
      <c r="B477" s="17"/>
    </row>
    <row r="478" spans="2:2" x14ac:dyDescent="0.25">
      <c r="B478" s="17"/>
    </row>
    <row r="479" spans="2:2" x14ac:dyDescent="0.25">
      <c r="B479" s="17"/>
    </row>
    <row r="480" spans="2:2" x14ac:dyDescent="0.25">
      <c r="B480" s="17"/>
    </row>
    <row r="481" spans="2:2" x14ac:dyDescent="0.25">
      <c r="B481" s="17"/>
    </row>
    <row r="482" spans="2:2" x14ac:dyDescent="0.25">
      <c r="B482" s="17"/>
    </row>
    <row r="483" spans="2:2" x14ac:dyDescent="0.25">
      <c r="B483" s="17"/>
    </row>
    <row r="484" spans="2:2" x14ac:dyDescent="0.25">
      <c r="B484" s="17"/>
    </row>
    <row r="485" spans="2:2" x14ac:dyDescent="0.25">
      <c r="B485" s="17"/>
    </row>
    <row r="486" spans="2:2" x14ac:dyDescent="0.25">
      <c r="B486" s="17"/>
    </row>
    <row r="487" spans="2:2" x14ac:dyDescent="0.25">
      <c r="B487" s="17"/>
    </row>
    <row r="488" spans="2:2" x14ac:dyDescent="0.25">
      <c r="B488" s="17"/>
    </row>
    <row r="489" spans="2:2" x14ac:dyDescent="0.25">
      <c r="B489" s="17"/>
    </row>
    <row r="490" spans="2:2" x14ac:dyDescent="0.25">
      <c r="B490" s="17"/>
    </row>
    <row r="491" spans="2:2" x14ac:dyDescent="0.25">
      <c r="B491" s="17"/>
    </row>
    <row r="492" spans="2:2" x14ac:dyDescent="0.25">
      <c r="B492" s="17"/>
    </row>
    <row r="493" spans="2:2" x14ac:dyDescent="0.25">
      <c r="B493" s="17"/>
    </row>
    <row r="494" spans="2:2" x14ac:dyDescent="0.25">
      <c r="B494" s="17"/>
    </row>
    <row r="495" spans="2:2" x14ac:dyDescent="0.25">
      <c r="B495" s="17"/>
    </row>
    <row r="496" spans="2:2" x14ac:dyDescent="0.25">
      <c r="B496" s="17"/>
    </row>
    <row r="497" spans="2:2" x14ac:dyDescent="0.25">
      <c r="B497" s="17"/>
    </row>
    <row r="498" spans="2:2" x14ac:dyDescent="0.25">
      <c r="B498" s="17"/>
    </row>
    <row r="499" spans="2:2" x14ac:dyDescent="0.25">
      <c r="B499" s="17"/>
    </row>
    <row r="500" spans="2:2" x14ac:dyDescent="0.25">
      <c r="B500" s="17"/>
    </row>
    <row r="501" spans="2:2" x14ac:dyDescent="0.25">
      <c r="B501" s="17"/>
    </row>
    <row r="502" spans="2:2" x14ac:dyDescent="0.25">
      <c r="B502" s="17"/>
    </row>
    <row r="503" spans="2:2" x14ac:dyDescent="0.25">
      <c r="B503" s="17"/>
    </row>
    <row r="504" spans="2:2" x14ac:dyDescent="0.25">
      <c r="B504" s="17"/>
    </row>
    <row r="505" spans="2:2" x14ac:dyDescent="0.25">
      <c r="B505" s="17"/>
    </row>
    <row r="506" spans="2:2" x14ac:dyDescent="0.25">
      <c r="B506" s="17"/>
    </row>
    <row r="507" spans="2:2" x14ac:dyDescent="0.25">
      <c r="B507" s="17"/>
    </row>
    <row r="508" spans="2:2" x14ac:dyDescent="0.25">
      <c r="B508" s="17"/>
    </row>
    <row r="509" spans="2:2" x14ac:dyDescent="0.25">
      <c r="B509" s="17"/>
    </row>
    <row r="510" spans="2:2" x14ac:dyDescent="0.25">
      <c r="B510" s="17"/>
    </row>
    <row r="511" spans="2:2" x14ac:dyDescent="0.25">
      <c r="B511" s="17"/>
    </row>
    <row r="512" spans="2:2" x14ac:dyDescent="0.25">
      <c r="B512" s="17"/>
    </row>
    <row r="513" spans="2:2" x14ac:dyDescent="0.25">
      <c r="B513" s="17"/>
    </row>
    <row r="514" spans="2:2" x14ac:dyDescent="0.25">
      <c r="B514" s="17"/>
    </row>
    <row r="515" spans="2:2" x14ac:dyDescent="0.25">
      <c r="B515" s="17"/>
    </row>
    <row r="516" spans="2:2" x14ac:dyDescent="0.25">
      <c r="B516" s="17"/>
    </row>
    <row r="517" spans="2:2" x14ac:dyDescent="0.25">
      <c r="B517" s="17"/>
    </row>
    <row r="518" spans="2:2" x14ac:dyDescent="0.25">
      <c r="B518" s="17"/>
    </row>
    <row r="519" spans="2:2" x14ac:dyDescent="0.25">
      <c r="B519" s="17"/>
    </row>
    <row r="520" spans="2:2" x14ac:dyDescent="0.25">
      <c r="B520" s="17"/>
    </row>
    <row r="521" spans="2:2" x14ac:dyDescent="0.25">
      <c r="B521" s="17"/>
    </row>
    <row r="522" spans="2:2" x14ac:dyDescent="0.25">
      <c r="B522" s="17"/>
    </row>
    <row r="523" spans="2:2" x14ac:dyDescent="0.25">
      <c r="B523" s="17"/>
    </row>
    <row r="524" spans="2:2" x14ac:dyDescent="0.25">
      <c r="B524" s="17"/>
    </row>
    <row r="525" spans="2:2" x14ac:dyDescent="0.25">
      <c r="B525" s="17"/>
    </row>
    <row r="526" spans="2:2" x14ac:dyDescent="0.25">
      <c r="B526" s="17"/>
    </row>
    <row r="527" spans="2:2" x14ac:dyDescent="0.25">
      <c r="B527" s="17"/>
    </row>
    <row r="528" spans="2:2" x14ac:dyDescent="0.25">
      <c r="B528" s="17"/>
    </row>
    <row r="529" spans="2:2" x14ac:dyDescent="0.25">
      <c r="B529" s="17"/>
    </row>
    <row r="530" spans="2:2" x14ac:dyDescent="0.25">
      <c r="B530" s="17"/>
    </row>
    <row r="531" spans="2:2" x14ac:dyDescent="0.25">
      <c r="B531" s="17"/>
    </row>
    <row r="532" spans="2:2" x14ac:dyDescent="0.25">
      <c r="B532" s="17"/>
    </row>
    <row r="533" spans="2:2" x14ac:dyDescent="0.25">
      <c r="B533" s="17"/>
    </row>
    <row r="534" spans="2:2" x14ac:dyDescent="0.25">
      <c r="B534" s="17"/>
    </row>
    <row r="535" spans="2:2" x14ac:dyDescent="0.25">
      <c r="B535" s="17"/>
    </row>
    <row r="536" spans="2:2" x14ac:dyDescent="0.25">
      <c r="B536" s="17"/>
    </row>
    <row r="537" spans="2:2" x14ac:dyDescent="0.25">
      <c r="B537" s="17"/>
    </row>
    <row r="538" spans="2:2" x14ac:dyDescent="0.25">
      <c r="B538" s="17"/>
    </row>
    <row r="539" spans="2:2" x14ac:dyDescent="0.25">
      <c r="B539" s="17"/>
    </row>
    <row r="540" spans="2:2" x14ac:dyDescent="0.25">
      <c r="B540" s="17"/>
    </row>
    <row r="541" spans="2:2" x14ac:dyDescent="0.25">
      <c r="B541" s="17"/>
    </row>
    <row r="542" spans="2:2" x14ac:dyDescent="0.25">
      <c r="B542" s="17"/>
    </row>
    <row r="543" spans="2:2" x14ac:dyDescent="0.25">
      <c r="B543" s="17"/>
    </row>
    <row r="544" spans="2:2" x14ac:dyDescent="0.25">
      <c r="B544" s="17"/>
    </row>
    <row r="545" spans="2:2" x14ac:dyDescent="0.25">
      <c r="B545" s="17"/>
    </row>
    <row r="546" spans="2:2" x14ac:dyDescent="0.25">
      <c r="B546" s="17"/>
    </row>
    <row r="547" spans="2:2" x14ac:dyDescent="0.25">
      <c r="B547" s="17"/>
    </row>
    <row r="548" spans="2:2" x14ac:dyDescent="0.25">
      <c r="B548" s="17"/>
    </row>
    <row r="549" spans="2:2" x14ac:dyDescent="0.25">
      <c r="B549" s="17"/>
    </row>
    <row r="550" spans="2:2" x14ac:dyDescent="0.25">
      <c r="B550" s="17"/>
    </row>
    <row r="551" spans="2:2" x14ac:dyDescent="0.25">
      <c r="B551" s="17"/>
    </row>
    <row r="552" spans="2:2" x14ac:dyDescent="0.25">
      <c r="B552" s="17"/>
    </row>
    <row r="553" spans="2:2" x14ac:dyDescent="0.25">
      <c r="B553" s="17"/>
    </row>
    <row r="554" spans="2:2" x14ac:dyDescent="0.25">
      <c r="B554" s="17"/>
    </row>
    <row r="555" spans="2:2" x14ac:dyDescent="0.25">
      <c r="B555" s="17"/>
    </row>
    <row r="556" spans="2:2" x14ac:dyDescent="0.25">
      <c r="B556" s="17"/>
    </row>
    <row r="557" spans="2:2" x14ac:dyDescent="0.25">
      <c r="B557" s="17"/>
    </row>
    <row r="558" spans="2:2" x14ac:dyDescent="0.25">
      <c r="B558" s="17"/>
    </row>
    <row r="559" spans="2:2" x14ac:dyDescent="0.25">
      <c r="B559" s="17"/>
    </row>
    <row r="560" spans="2:2" x14ac:dyDescent="0.25">
      <c r="B560" s="17"/>
    </row>
    <row r="561" spans="2:2" x14ac:dyDescent="0.25">
      <c r="B561" s="17"/>
    </row>
    <row r="562" spans="2:2" x14ac:dyDescent="0.25">
      <c r="B562" s="17"/>
    </row>
    <row r="563" spans="2:2" x14ac:dyDescent="0.25">
      <c r="B563" s="17"/>
    </row>
    <row r="564" spans="2:2" x14ac:dyDescent="0.25">
      <c r="B564" s="17"/>
    </row>
    <row r="565" spans="2:2" x14ac:dyDescent="0.25">
      <c r="B565" s="17"/>
    </row>
    <row r="566" spans="2:2" x14ac:dyDescent="0.25">
      <c r="B566" s="17"/>
    </row>
    <row r="567" spans="2:2" x14ac:dyDescent="0.25">
      <c r="B567" s="17"/>
    </row>
    <row r="568" spans="2:2" x14ac:dyDescent="0.25">
      <c r="B568" s="17"/>
    </row>
    <row r="569" spans="2:2" x14ac:dyDescent="0.25">
      <c r="B569" s="17"/>
    </row>
    <row r="570" spans="2:2" x14ac:dyDescent="0.25">
      <c r="B570" s="17"/>
    </row>
    <row r="571" spans="2:2" x14ac:dyDescent="0.25">
      <c r="B571" s="17"/>
    </row>
    <row r="572" spans="2:2" x14ac:dyDescent="0.25">
      <c r="B572" s="17"/>
    </row>
    <row r="573" spans="2:2" x14ac:dyDescent="0.25">
      <c r="B573" s="17"/>
    </row>
    <row r="574" spans="2:2" x14ac:dyDescent="0.25">
      <c r="B574" s="17"/>
    </row>
    <row r="575" spans="2:2" x14ac:dyDescent="0.25">
      <c r="B575" s="17"/>
    </row>
    <row r="576" spans="2:2" x14ac:dyDescent="0.25">
      <c r="B576" s="17"/>
    </row>
    <row r="577" spans="2:2" x14ac:dyDescent="0.25">
      <c r="B577" s="17"/>
    </row>
    <row r="578" spans="2:2" x14ac:dyDescent="0.25">
      <c r="B578" s="17"/>
    </row>
    <row r="579" spans="2:2" x14ac:dyDescent="0.25">
      <c r="B579" s="17"/>
    </row>
    <row r="580" spans="2:2" x14ac:dyDescent="0.25">
      <c r="B580" s="17"/>
    </row>
    <row r="581" spans="2:2" x14ac:dyDescent="0.25">
      <c r="B581" s="17"/>
    </row>
    <row r="582" spans="2:2" x14ac:dyDescent="0.25">
      <c r="B582" s="17"/>
    </row>
    <row r="583" spans="2:2" x14ac:dyDescent="0.25">
      <c r="B583" s="17"/>
    </row>
    <row r="584" spans="2:2" x14ac:dyDescent="0.25">
      <c r="B584" s="17"/>
    </row>
    <row r="585" spans="2:2" x14ac:dyDescent="0.25">
      <c r="B585" s="17"/>
    </row>
    <row r="586" spans="2:2" x14ac:dyDescent="0.25">
      <c r="B586" s="17"/>
    </row>
    <row r="587" spans="2:2" x14ac:dyDescent="0.25">
      <c r="B587" s="17"/>
    </row>
    <row r="588" spans="2:2" x14ac:dyDescent="0.25">
      <c r="B588" s="17"/>
    </row>
    <row r="589" spans="2:2" x14ac:dyDescent="0.25">
      <c r="B589" s="17"/>
    </row>
    <row r="590" spans="2:2" x14ac:dyDescent="0.25">
      <c r="B590" s="17"/>
    </row>
    <row r="591" spans="2:2" x14ac:dyDescent="0.25">
      <c r="B591" s="17"/>
    </row>
    <row r="592" spans="2:2" x14ac:dyDescent="0.25">
      <c r="B592" s="17"/>
    </row>
    <row r="593" spans="2:2" x14ac:dyDescent="0.25">
      <c r="B593" s="17"/>
    </row>
    <row r="594" spans="2:2" x14ac:dyDescent="0.25">
      <c r="B594" s="17"/>
    </row>
    <row r="595" spans="2:2" x14ac:dyDescent="0.25">
      <c r="B595" s="17"/>
    </row>
    <row r="596" spans="2:2" x14ac:dyDescent="0.25">
      <c r="B596" s="17"/>
    </row>
    <row r="597" spans="2:2" x14ac:dyDescent="0.25">
      <c r="B597" s="17"/>
    </row>
    <row r="598" spans="2:2" x14ac:dyDescent="0.25">
      <c r="B598" s="17"/>
    </row>
    <row r="599" spans="2:2" x14ac:dyDescent="0.25">
      <c r="B599" s="17"/>
    </row>
    <row r="600" spans="2:2" x14ac:dyDescent="0.25">
      <c r="B600" s="17"/>
    </row>
    <row r="601" spans="2:2" x14ac:dyDescent="0.25">
      <c r="B601" s="17"/>
    </row>
    <row r="602" spans="2:2" x14ac:dyDescent="0.25">
      <c r="B602" s="17"/>
    </row>
    <row r="603" spans="2:2" x14ac:dyDescent="0.25">
      <c r="B603" s="17"/>
    </row>
    <row r="604" spans="2:2" x14ac:dyDescent="0.25">
      <c r="B604" s="17"/>
    </row>
    <row r="605" spans="2:2" x14ac:dyDescent="0.25">
      <c r="B605" s="17"/>
    </row>
    <row r="606" spans="2:2" x14ac:dyDescent="0.25">
      <c r="B606" s="17"/>
    </row>
    <row r="607" spans="2:2" x14ac:dyDescent="0.25">
      <c r="B607" s="17"/>
    </row>
    <row r="608" spans="2:2" x14ac:dyDescent="0.25">
      <c r="B608" s="17"/>
    </row>
    <row r="609" spans="2:2" x14ac:dyDescent="0.25">
      <c r="B609" s="17"/>
    </row>
    <row r="610" spans="2:2" x14ac:dyDescent="0.25">
      <c r="B610" s="17"/>
    </row>
    <row r="611" spans="2:2" x14ac:dyDescent="0.25">
      <c r="B611" s="17"/>
    </row>
    <row r="612" spans="2:2" x14ac:dyDescent="0.25">
      <c r="B612" s="17"/>
    </row>
    <row r="613" spans="2:2" x14ac:dyDescent="0.25">
      <c r="B613" s="17"/>
    </row>
    <row r="614" spans="2:2" x14ac:dyDescent="0.25">
      <c r="B614" s="17"/>
    </row>
    <row r="615" spans="2:2" x14ac:dyDescent="0.25">
      <c r="B615" s="17"/>
    </row>
    <row r="616" spans="2:2" x14ac:dyDescent="0.25">
      <c r="B616" s="17"/>
    </row>
    <row r="617" spans="2:2" x14ac:dyDescent="0.25">
      <c r="B617" s="17"/>
    </row>
    <row r="618" spans="2:2" x14ac:dyDescent="0.25">
      <c r="B618" s="17"/>
    </row>
    <row r="619" spans="2:2" x14ac:dyDescent="0.25">
      <c r="B619" s="17"/>
    </row>
    <row r="620" spans="2:2" x14ac:dyDescent="0.25">
      <c r="B620" s="17"/>
    </row>
    <row r="621" spans="2:2" x14ac:dyDescent="0.25">
      <c r="B621" s="17"/>
    </row>
    <row r="622" spans="2:2" x14ac:dyDescent="0.25">
      <c r="B622" s="17"/>
    </row>
    <row r="623" spans="2:2" x14ac:dyDescent="0.25">
      <c r="B623" s="17"/>
    </row>
    <row r="624" spans="2:2" x14ac:dyDescent="0.25">
      <c r="B624" s="17"/>
    </row>
    <row r="625" spans="2:2" x14ac:dyDescent="0.25">
      <c r="B625" s="17"/>
    </row>
    <row r="626" spans="2:2" x14ac:dyDescent="0.25">
      <c r="B626" s="17"/>
    </row>
    <row r="627" spans="2:2" x14ac:dyDescent="0.25">
      <c r="B627" s="17"/>
    </row>
    <row r="628" spans="2:2" x14ac:dyDescent="0.25">
      <c r="B628" s="17"/>
    </row>
    <row r="629" spans="2:2" x14ac:dyDescent="0.25">
      <c r="B629" s="17"/>
    </row>
    <row r="630" spans="2:2" x14ac:dyDescent="0.25">
      <c r="B630" s="17"/>
    </row>
    <row r="631" spans="2:2" x14ac:dyDescent="0.25">
      <c r="B631" s="17"/>
    </row>
    <row r="632" spans="2:2" x14ac:dyDescent="0.25">
      <c r="B632" s="17"/>
    </row>
    <row r="633" spans="2:2" x14ac:dyDescent="0.25">
      <c r="B633" s="17"/>
    </row>
    <row r="634" spans="2:2" x14ac:dyDescent="0.25">
      <c r="B634" s="17"/>
    </row>
    <row r="635" spans="2:2" x14ac:dyDescent="0.25">
      <c r="B635" s="17"/>
    </row>
    <row r="636" spans="2:2" x14ac:dyDescent="0.25">
      <c r="B636" s="17"/>
    </row>
    <row r="637" spans="2:2" x14ac:dyDescent="0.25">
      <c r="B637" s="17"/>
    </row>
    <row r="638" spans="2:2" x14ac:dyDescent="0.25">
      <c r="B638" s="17"/>
    </row>
    <row r="639" spans="2:2" x14ac:dyDescent="0.25">
      <c r="B639" s="17"/>
    </row>
    <row r="640" spans="2:2" x14ac:dyDescent="0.25">
      <c r="B640" s="17"/>
    </row>
    <row r="641" spans="2:2" x14ac:dyDescent="0.25">
      <c r="B641" s="17"/>
    </row>
    <row r="642" spans="2:2" x14ac:dyDescent="0.25">
      <c r="B642" s="17"/>
    </row>
    <row r="643" spans="2:2" x14ac:dyDescent="0.25">
      <c r="B643" s="17"/>
    </row>
    <row r="644" spans="2:2" x14ac:dyDescent="0.25">
      <c r="B644" s="17"/>
    </row>
    <row r="645" spans="2:2" x14ac:dyDescent="0.25">
      <c r="B645" s="17"/>
    </row>
    <row r="646" spans="2:2" x14ac:dyDescent="0.25">
      <c r="B646" s="17"/>
    </row>
    <row r="647" spans="2:2" x14ac:dyDescent="0.25">
      <c r="B647" s="17"/>
    </row>
    <row r="648" spans="2:2" x14ac:dyDescent="0.25">
      <c r="B648" s="17"/>
    </row>
    <row r="649" spans="2:2" x14ac:dyDescent="0.25">
      <c r="B649" s="17"/>
    </row>
    <row r="650" spans="2:2" x14ac:dyDescent="0.25">
      <c r="B650" s="17"/>
    </row>
    <row r="651" spans="2:2" x14ac:dyDescent="0.25">
      <c r="B651" s="17"/>
    </row>
    <row r="652" spans="2:2" x14ac:dyDescent="0.25">
      <c r="B652" s="17"/>
    </row>
    <row r="653" spans="2:2" x14ac:dyDescent="0.25">
      <c r="B653" s="17"/>
    </row>
    <row r="654" spans="2:2" x14ac:dyDescent="0.25">
      <c r="B654" s="17"/>
    </row>
    <row r="655" spans="2:2" x14ac:dyDescent="0.25">
      <c r="B655" s="17"/>
    </row>
    <row r="656" spans="2:2" x14ac:dyDescent="0.25">
      <c r="B656" s="17"/>
    </row>
    <row r="657" spans="2:2" x14ac:dyDescent="0.25">
      <c r="B657" s="17"/>
    </row>
    <row r="658" spans="2:2" x14ac:dyDescent="0.25">
      <c r="B658" s="17"/>
    </row>
    <row r="659" spans="2:2" x14ac:dyDescent="0.25">
      <c r="B659" s="17"/>
    </row>
    <row r="660" spans="2:2" x14ac:dyDescent="0.25">
      <c r="B660" s="17"/>
    </row>
    <row r="661" spans="2:2" x14ac:dyDescent="0.25">
      <c r="B661" s="17"/>
    </row>
    <row r="662" spans="2:2" x14ac:dyDescent="0.25">
      <c r="B662" s="17"/>
    </row>
    <row r="663" spans="2:2" x14ac:dyDescent="0.25">
      <c r="B663" s="17"/>
    </row>
    <row r="664" spans="2:2" x14ac:dyDescent="0.25">
      <c r="B664" s="17"/>
    </row>
    <row r="665" spans="2:2" x14ac:dyDescent="0.25">
      <c r="B665" s="17"/>
    </row>
    <row r="666" spans="2:2" x14ac:dyDescent="0.25">
      <c r="B666" s="17"/>
    </row>
    <row r="667" spans="2:2" x14ac:dyDescent="0.25">
      <c r="B667" s="17"/>
    </row>
    <row r="668" spans="2:2" x14ac:dyDescent="0.25">
      <c r="B668" s="17"/>
    </row>
    <row r="669" spans="2:2" x14ac:dyDescent="0.25">
      <c r="B669" s="17"/>
    </row>
    <row r="670" spans="2:2" x14ac:dyDescent="0.25">
      <c r="B670" s="17"/>
    </row>
    <row r="671" spans="2:2" x14ac:dyDescent="0.25">
      <c r="B671" s="17"/>
    </row>
    <row r="672" spans="2:2" x14ac:dyDescent="0.25">
      <c r="B672" s="17"/>
    </row>
    <row r="673" spans="2:2" x14ac:dyDescent="0.25">
      <c r="B673" s="17"/>
    </row>
    <row r="674" spans="2:2" x14ac:dyDescent="0.25">
      <c r="B674" s="17"/>
    </row>
    <row r="675" spans="2:2" x14ac:dyDescent="0.25">
      <c r="B675" s="17"/>
    </row>
    <row r="676" spans="2:2" x14ac:dyDescent="0.25">
      <c r="B676" s="17"/>
    </row>
    <row r="677" spans="2:2" x14ac:dyDescent="0.25">
      <c r="B677" s="17"/>
    </row>
    <row r="678" spans="2:2" x14ac:dyDescent="0.25">
      <c r="B678" s="17"/>
    </row>
    <row r="679" spans="2:2" x14ac:dyDescent="0.25">
      <c r="B679" s="17"/>
    </row>
    <row r="680" spans="2:2" x14ac:dyDescent="0.25">
      <c r="B680" s="17"/>
    </row>
    <row r="681" spans="2:2" x14ac:dyDescent="0.25">
      <c r="B681" s="17"/>
    </row>
    <row r="682" spans="2:2" x14ac:dyDescent="0.25">
      <c r="B682" s="17"/>
    </row>
    <row r="683" spans="2:2" x14ac:dyDescent="0.25">
      <c r="B683" s="17"/>
    </row>
    <row r="684" spans="2:2" x14ac:dyDescent="0.25">
      <c r="B684" s="17"/>
    </row>
    <row r="685" spans="2:2" x14ac:dyDescent="0.25">
      <c r="B685" s="17"/>
    </row>
    <row r="686" spans="2:2" x14ac:dyDescent="0.25">
      <c r="B686" s="17"/>
    </row>
    <row r="687" spans="2:2" x14ac:dyDescent="0.25">
      <c r="B687" s="17"/>
    </row>
    <row r="688" spans="2:2" x14ac:dyDescent="0.25">
      <c r="B688" s="17"/>
    </row>
    <row r="689" spans="2:2" x14ac:dyDescent="0.25">
      <c r="B689" s="17"/>
    </row>
    <row r="690" spans="2:2" x14ac:dyDescent="0.25">
      <c r="B690" s="17"/>
    </row>
    <row r="691" spans="2:2" x14ac:dyDescent="0.25">
      <c r="B691" s="17"/>
    </row>
    <row r="692" spans="2:2" x14ac:dyDescent="0.25">
      <c r="B692" s="17"/>
    </row>
    <row r="693" spans="2:2" x14ac:dyDescent="0.25">
      <c r="B693" s="17"/>
    </row>
    <row r="694" spans="2:2" x14ac:dyDescent="0.25">
      <c r="B694" s="17"/>
    </row>
    <row r="695" spans="2:2" x14ac:dyDescent="0.25">
      <c r="B695" s="17"/>
    </row>
    <row r="696" spans="2:2" x14ac:dyDescent="0.25">
      <c r="B696" s="17"/>
    </row>
    <row r="697" spans="2:2" x14ac:dyDescent="0.25">
      <c r="B697" s="17"/>
    </row>
    <row r="698" spans="2:2" x14ac:dyDescent="0.25">
      <c r="B698" s="17"/>
    </row>
    <row r="699" spans="2:2" x14ac:dyDescent="0.25">
      <c r="B699" s="17"/>
    </row>
    <row r="700" spans="2:2" x14ac:dyDescent="0.25">
      <c r="B700" s="17"/>
    </row>
    <row r="701" spans="2:2" x14ac:dyDescent="0.25">
      <c r="B701" s="17"/>
    </row>
    <row r="702" spans="2:2" x14ac:dyDescent="0.25">
      <c r="B702" s="17"/>
    </row>
    <row r="703" spans="2:2" x14ac:dyDescent="0.25">
      <c r="B703" s="17"/>
    </row>
    <row r="704" spans="2:2" x14ac:dyDescent="0.25">
      <c r="B704" s="17"/>
    </row>
    <row r="705" spans="2:2" x14ac:dyDescent="0.25">
      <c r="B705" s="17"/>
    </row>
    <row r="706" spans="2:2" x14ac:dyDescent="0.25">
      <c r="B706" s="17"/>
    </row>
    <row r="707" spans="2:2" x14ac:dyDescent="0.25">
      <c r="B707" s="17"/>
    </row>
    <row r="708" spans="2:2" x14ac:dyDescent="0.25">
      <c r="B708" s="17"/>
    </row>
    <row r="709" spans="2:2" x14ac:dyDescent="0.25">
      <c r="B709" s="17"/>
    </row>
    <row r="710" spans="2:2" x14ac:dyDescent="0.25">
      <c r="B710" s="17"/>
    </row>
    <row r="711" spans="2:2" x14ac:dyDescent="0.25">
      <c r="B711" s="17"/>
    </row>
    <row r="712" spans="2:2" x14ac:dyDescent="0.25">
      <c r="B712" s="17"/>
    </row>
    <row r="713" spans="2:2" x14ac:dyDescent="0.25">
      <c r="B713" s="17"/>
    </row>
    <row r="714" spans="2:2" x14ac:dyDescent="0.25">
      <c r="B714" s="17"/>
    </row>
    <row r="715" spans="2:2" x14ac:dyDescent="0.25">
      <c r="B715" s="17"/>
    </row>
    <row r="716" spans="2:2" x14ac:dyDescent="0.25">
      <c r="B716" s="17"/>
    </row>
    <row r="717" spans="2:2" x14ac:dyDescent="0.25">
      <c r="B717" s="17"/>
    </row>
    <row r="718" spans="2:2" x14ac:dyDescent="0.25">
      <c r="B718" s="17"/>
    </row>
    <row r="719" spans="2:2" x14ac:dyDescent="0.25">
      <c r="B719" s="17"/>
    </row>
    <row r="720" spans="2:2" x14ac:dyDescent="0.25">
      <c r="B720" s="17"/>
    </row>
    <row r="721" spans="2:2" x14ac:dyDescent="0.25">
      <c r="B721" s="17"/>
    </row>
    <row r="722" spans="2:2" x14ac:dyDescent="0.25">
      <c r="B722" s="17"/>
    </row>
    <row r="723" spans="2:2" x14ac:dyDescent="0.25">
      <c r="B723" s="17"/>
    </row>
    <row r="724" spans="2:2" x14ac:dyDescent="0.25">
      <c r="B724" s="17"/>
    </row>
    <row r="725" spans="2:2" x14ac:dyDescent="0.25">
      <c r="B725" s="17"/>
    </row>
    <row r="726" spans="2:2" x14ac:dyDescent="0.25">
      <c r="B726" s="17"/>
    </row>
    <row r="727" spans="2:2" x14ac:dyDescent="0.25">
      <c r="B727" s="17"/>
    </row>
    <row r="728" spans="2:2" x14ac:dyDescent="0.25">
      <c r="B728" s="17"/>
    </row>
    <row r="729" spans="2:2" x14ac:dyDescent="0.25">
      <c r="B729" s="17"/>
    </row>
    <row r="730" spans="2:2" x14ac:dyDescent="0.25">
      <c r="B730" s="17"/>
    </row>
    <row r="731" spans="2:2" x14ac:dyDescent="0.25">
      <c r="B731" s="17"/>
    </row>
    <row r="732" spans="2:2" x14ac:dyDescent="0.25">
      <c r="B732" s="17"/>
    </row>
    <row r="733" spans="2:2" x14ac:dyDescent="0.25">
      <c r="B733" s="17"/>
    </row>
    <row r="734" spans="2:2" x14ac:dyDescent="0.25">
      <c r="B734" s="17"/>
    </row>
    <row r="735" spans="2:2" x14ac:dyDescent="0.25">
      <c r="B735" s="17"/>
    </row>
    <row r="736" spans="2:2" x14ac:dyDescent="0.25">
      <c r="B736" s="17"/>
    </row>
    <row r="737" spans="2:2" x14ac:dyDescent="0.25">
      <c r="B737" s="17"/>
    </row>
    <row r="738" spans="2:2" x14ac:dyDescent="0.25">
      <c r="B738" s="17"/>
    </row>
    <row r="739" spans="2:2" x14ac:dyDescent="0.25">
      <c r="B739" s="17"/>
    </row>
    <row r="740" spans="2:2" x14ac:dyDescent="0.25">
      <c r="B740" s="17"/>
    </row>
    <row r="741" spans="2:2" x14ac:dyDescent="0.25">
      <c r="B741" s="17"/>
    </row>
    <row r="742" spans="2:2" x14ac:dyDescent="0.25">
      <c r="B742" s="17"/>
    </row>
    <row r="743" spans="2:2" x14ac:dyDescent="0.25">
      <c r="B743" s="17"/>
    </row>
    <row r="744" spans="2:2" x14ac:dyDescent="0.25">
      <c r="B744" s="17"/>
    </row>
    <row r="745" spans="2:2" x14ac:dyDescent="0.25">
      <c r="B745" s="17"/>
    </row>
    <row r="746" spans="2:2" x14ac:dyDescent="0.25">
      <c r="B746" s="17"/>
    </row>
    <row r="747" spans="2:2" x14ac:dyDescent="0.25">
      <c r="B747" s="17"/>
    </row>
    <row r="748" spans="2:2" x14ac:dyDescent="0.25">
      <c r="B748" s="17"/>
    </row>
    <row r="749" spans="2:2" x14ac:dyDescent="0.25">
      <c r="B749" s="17"/>
    </row>
    <row r="750" spans="2:2" x14ac:dyDescent="0.25">
      <c r="B750" s="17"/>
    </row>
    <row r="751" spans="2:2" x14ac:dyDescent="0.25">
      <c r="B751" s="17"/>
    </row>
    <row r="752" spans="2:2" x14ac:dyDescent="0.25">
      <c r="B752" s="17"/>
    </row>
    <row r="753" spans="2:2" x14ac:dyDescent="0.25">
      <c r="B753" s="17"/>
    </row>
    <row r="754" spans="2:2" x14ac:dyDescent="0.25">
      <c r="B754" s="17"/>
    </row>
    <row r="755" spans="2:2" x14ac:dyDescent="0.25">
      <c r="B755" s="17"/>
    </row>
    <row r="756" spans="2:2" x14ac:dyDescent="0.25">
      <c r="B756" s="17"/>
    </row>
    <row r="757" spans="2:2" x14ac:dyDescent="0.25">
      <c r="B757" s="17"/>
    </row>
    <row r="758" spans="2:2" x14ac:dyDescent="0.25">
      <c r="B758" s="17"/>
    </row>
    <row r="759" spans="2:2" x14ac:dyDescent="0.25">
      <c r="B759" s="17"/>
    </row>
    <row r="760" spans="2:2" x14ac:dyDescent="0.25">
      <c r="B760" s="17"/>
    </row>
    <row r="761" spans="2:2" x14ac:dyDescent="0.25">
      <c r="B761" s="17"/>
    </row>
    <row r="762" spans="2:2" x14ac:dyDescent="0.25">
      <c r="B762" s="17"/>
    </row>
    <row r="763" spans="2:2" x14ac:dyDescent="0.25">
      <c r="B763" s="17"/>
    </row>
    <row r="764" spans="2:2" x14ac:dyDescent="0.25">
      <c r="B764" s="17"/>
    </row>
    <row r="765" spans="2:2" x14ac:dyDescent="0.25">
      <c r="B765" s="17"/>
    </row>
    <row r="766" spans="2:2" x14ac:dyDescent="0.25">
      <c r="B766" s="17"/>
    </row>
    <row r="767" spans="2:2" x14ac:dyDescent="0.25">
      <c r="B767" s="17"/>
    </row>
    <row r="768" spans="2:2" x14ac:dyDescent="0.25">
      <c r="B768" s="17"/>
    </row>
    <row r="769" spans="2:2" x14ac:dyDescent="0.25">
      <c r="B769" s="17"/>
    </row>
    <row r="770" spans="2:2" x14ac:dyDescent="0.25">
      <c r="B770" s="17"/>
    </row>
    <row r="771" spans="2:2" x14ac:dyDescent="0.25">
      <c r="B771" s="17"/>
    </row>
    <row r="772" spans="2:2" x14ac:dyDescent="0.25">
      <c r="B772" s="17"/>
    </row>
    <row r="773" spans="2:2" x14ac:dyDescent="0.25">
      <c r="B773" s="17"/>
    </row>
    <row r="774" spans="2:2" x14ac:dyDescent="0.25">
      <c r="B774" s="17"/>
    </row>
    <row r="775" spans="2:2" x14ac:dyDescent="0.25">
      <c r="B775" s="17"/>
    </row>
    <row r="776" spans="2:2" x14ac:dyDescent="0.25">
      <c r="B776" s="17"/>
    </row>
    <row r="777" spans="2:2" x14ac:dyDescent="0.25">
      <c r="B777" s="17"/>
    </row>
    <row r="778" spans="2:2" x14ac:dyDescent="0.25">
      <c r="B778" s="17"/>
    </row>
    <row r="779" spans="2:2" x14ac:dyDescent="0.25">
      <c r="B779" s="17"/>
    </row>
    <row r="780" spans="2:2" x14ac:dyDescent="0.25">
      <c r="B780" s="17"/>
    </row>
    <row r="781" spans="2:2" x14ac:dyDescent="0.25">
      <c r="B781" s="17"/>
    </row>
    <row r="782" spans="2:2" x14ac:dyDescent="0.25">
      <c r="B782" s="17"/>
    </row>
    <row r="783" spans="2:2" x14ac:dyDescent="0.25">
      <c r="B783" s="17"/>
    </row>
    <row r="784" spans="2:2" x14ac:dyDescent="0.25">
      <c r="B784" s="17"/>
    </row>
    <row r="785" spans="2:2" x14ac:dyDescent="0.25">
      <c r="B785" s="17"/>
    </row>
    <row r="786" spans="2:2" x14ac:dyDescent="0.25">
      <c r="B786" s="17"/>
    </row>
    <row r="787" spans="2:2" x14ac:dyDescent="0.25">
      <c r="B787" s="17"/>
    </row>
    <row r="788" spans="2:2" x14ac:dyDescent="0.25">
      <c r="B788" s="17"/>
    </row>
    <row r="789" spans="2:2" x14ac:dyDescent="0.25">
      <c r="B789" s="17"/>
    </row>
    <row r="790" spans="2:2" x14ac:dyDescent="0.25">
      <c r="B790" s="17"/>
    </row>
    <row r="791" spans="2:2" x14ac:dyDescent="0.25">
      <c r="B791" s="17"/>
    </row>
    <row r="792" spans="2:2" x14ac:dyDescent="0.25">
      <c r="B792" s="17"/>
    </row>
    <row r="793" spans="2:2" x14ac:dyDescent="0.25">
      <c r="B793" s="17"/>
    </row>
    <row r="794" spans="2:2" x14ac:dyDescent="0.25">
      <c r="B794" s="17"/>
    </row>
    <row r="795" spans="2:2" x14ac:dyDescent="0.25">
      <c r="B795" s="17"/>
    </row>
    <row r="796" spans="2:2" x14ac:dyDescent="0.25">
      <c r="B796" s="17"/>
    </row>
    <row r="797" spans="2:2" x14ac:dyDescent="0.25">
      <c r="B797" s="17"/>
    </row>
    <row r="798" spans="2:2" x14ac:dyDescent="0.25">
      <c r="B798" s="17"/>
    </row>
    <row r="799" spans="2:2" x14ac:dyDescent="0.25">
      <c r="B799" s="17"/>
    </row>
    <row r="800" spans="2:2" x14ac:dyDescent="0.25">
      <c r="B800" s="17"/>
    </row>
    <row r="801" spans="2:2" x14ac:dyDescent="0.25">
      <c r="B801" s="17"/>
    </row>
    <row r="802" spans="2:2" x14ac:dyDescent="0.25">
      <c r="B802" s="17"/>
    </row>
    <row r="803" spans="2:2" x14ac:dyDescent="0.25">
      <c r="B803" s="17"/>
    </row>
    <row r="804" spans="2:2" x14ac:dyDescent="0.25">
      <c r="B804" s="17"/>
    </row>
    <row r="805" spans="2:2" x14ac:dyDescent="0.25">
      <c r="B805" s="17"/>
    </row>
    <row r="806" spans="2:2" x14ac:dyDescent="0.25">
      <c r="B806" s="17"/>
    </row>
    <row r="807" spans="2:2" x14ac:dyDescent="0.25">
      <c r="B807" s="17"/>
    </row>
    <row r="808" spans="2:2" x14ac:dyDescent="0.25">
      <c r="B808" s="17"/>
    </row>
    <row r="809" spans="2:2" x14ac:dyDescent="0.25">
      <c r="B809" s="17"/>
    </row>
    <row r="810" spans="2:2" x14ac:dyDescent="0.25">
      <c r="B810" s="17"/>
    </row>
    <row r="811" spans="2:2" x14ac:dyDescent="0.25">
      <c r="B811" s="17"/>
    </row>
    <row r="812" spans="2:2" x14ac:dyDescent="0.25">
      <c r="B812" s="17"/>
    </row>
    <row r="813" spans="2:2" x14ac:dyDescent="0.25">
      <c r="B813" s="17"/>
    </row>
    <row r="814" spans="2:2" x14ac:dyDescent="0.25">
      <c r="B814" s="17"/>
    </row>
    <row r="815" spans="2:2" x14ac:dyDescent="0.25">
      <c r="B815" s="17"/>
    </row>
    <row r="816" spans="2:2" x14ac:dyDescent="0.25">
      <c r="B816" s="17"/>
    </row>
    <row r="817" spans="2:2" x14ac:dyDescent="0.25">
      <c r="B817" s="17"/>
    </row>
    <row r="818" spans="2:2" x14ac:dyDescent="0.25">
      <c r="B818" s="17"/>
    </row>
    <row r="819" spans="2:2" x14ac:dyDescent="0.25">
      <c r="B819" s="17"/>
    </row>
    <row r="820" spans="2:2" x14ac:dyDescent="0.25">
      <c r="B820" s="17"/>
    </row>
    <row r="821" spans="2:2" x14ac:dyDescent="0.25">
      <c r="B821" s="17"/>
    </row>
    <row r="822" spans="2:2" x14ac:dyDescent="0.25">
      <c r="B822" s="17"/>
    </row>
    <row r="823" spans="2:2" x14ac:dyDescent="0.25">
      <c r="B823" s="17"/>
    </row>
    <row r="824" spans="2:2" x14ac:dyDescent="0.25">
      <c r="B824" s="17"/>
    </row>
    <row r="825" spans="2:2" x14ac:dyDescent="0.25">
      <c r="B825" s="17"/>
    </row>
    <row r="826" spans="2:2" x14ac:dyDescent="0.25">
      <c r="B826" s="17"/>
    </row>
    <row r="827" spans="2:2" x14ac:dyDescent="0.25">
      <c r="B827" s="17"/>
    </row>
    <row r="828" spans="2:2" x14ac:dyDescent="0.25">
      <c r="B828" s="17"/>
    </row>
    <row r="829" spans="2:2" x14ac:dyDescent="0.25">
      <c r="B829" s="17"/>
    </row>
    <row r="830" spans="2:2" x14ac:dyDescent="0.25">
      <c r="B830" s="17"/>
    </row>
    <row r="831" spans="2:2" x14ac:dyDescent="0.25">
      <c r="B831" s="17"/>
    </row>
    <row r="832" spans="2:2" x14ac:dyDescent="0.25">
      <c r="B832" s="17"/>
    </row>
    <row r="833" spans="2:2" x14ac:dyDescent="0.25">
      <c r="B833" s="17"/>
    </row>
    <row r="834" spans="2:2" x14ac:dyDescent="0.25">
      <c r="B834" s="17"/>
    </row>
    <row r="835" spans="2:2" x14ac:dyDescent="0.25">
      <c r="B835" s="17"/>
    </row>
    <row r="836" spans="2:2" x14ac:dyDescent="0.25">
      <c r="B836" s="17"/>
    </row>
    <row r="837" spans="2:2" x14ac:dyDescent="0.25">
      <c r="B837" s="17"/>
    </row>
    <row r="838" spans="2:2" x14ac:dyDescent="0.25">
      <c r="B838" s="17"/>
    </row>
    <row r="839" spans="2:2" x14ac:dyDescent="0.25">
      <c r="B839" s="17"/>
    </row>
    <row r="840" spans="2:2" x14ac:dyDescent="0.25">
      <c r="B840" s="17"/>
    </row>
    <row r="841" spans="2:2" x14ac:dyDescent="0.25">
      <c r="B841" s="17"/>
    </row>
    <row r="842" spans="2:2" x14ac:dyDescent="0.25">
      <c r="B842" s="17"/>
    </row>
    <row r="843" spans="2:2" x14ac:dyDescent="0.25">
      <c r="B843" s="17"/>
    </row>
    <row r="844" spans="2:2" x14ac:dyDescent="0.25">
      <c r="B844" s="17"/>
    </row>
    <row r="845" spans="2:2" x14ac:dyDescent="0.25">
      <c r="B845" s="17"/>
    </row>
    <row r="846" spans="2:2" x14ac:dyDescent="0.25">
      <c r="B846" s="17"/>
    </row>
    <row r="847" spans="2:2" x14ac:dyDescent="0.25">
      <c r="B847" s="17"/>
    </row>
    <row r="848" spans="2:2" x14ac:dyDescent="0.25">
      <c r="B848" s="17"/>
    </row>
    <row r="849" spans="2:2" x14ac:dyDescent="0.25">
      <c r="B849" s="17"/>
    </row>
    <row r="850" spans="2:2" x14ac:dyDescent="0.25">
      <c r="B850" s="17"/>
    </row>
    <row r="851" spans="2:2" x14ac:dyDescent="0.25">
      <c r="B851" s="17"/>
    </row>
    <row r="852" spans="2:2" x14ac:dyDescent="0.25">
      <c r="B852" s="17"/>
    </row>
    <row r="853" spans="2:2" x14ac:dyDescent="0.25">
      <c r="B853" s="17"/>
    </row>
    <row r="854" spans="2:2" x14ac:dyDescent="0.25">
      <c r="B854" s="17"/>
    </row>
    <row r="855" spans="2:2" x14ac:dyDescent="0.25">
      <c r="B855" s="17"/>
    </row>
    <row r="856" spans="2:2" x14ac:dyDescent="0.25">
      <c r="B856" s="17"/>
    </row>
    <row r="857" spans="2:2" x14ac:dyDescent="0.25">
      <c r="B857" s="17"/>
    </row>
    <row r="858" spans="2:2" x14ac:dyDescent="0.25">
      <c r="B858" s="17"/>
    </row>
    <row r="859" spans="2:2" x14ac:dyDescent="0.25">
      <c r="B859" s="17"/>
    </row>
    <row r="860" spans="2:2" x14ac:dyDescent="0.25">
      <c r="B860" s="17"/>
    </row>
    <row r="861" spans="2:2" x14ac:dyDescent="0.25">
      <c r="B861" s="17"/>
    </row>
    <row r="862" spans="2:2" x14ac:dyDescent="0.25">
      <c r="B862" s="17"/>
    </row>
    <row r="863" spans="2:2" x14ac:dyDescent="0.25">
      <c r="B863" s="17"/>
    </row>
    <row r="864" spans="2:2" x14ac:dyDescent="0.25">
      <c r="B864" s="17"/>
    </row>
    <row r="865" spans="2:2" x14ac:dyDescent="0.25">
      <c r="B865" s="17"/>
    </row>
    <row r="866" spans="2:2" x14ac:dyDescent="0.25">
      <c r="B866" s="17"/>
    </row>
    <row r="867" spans="2:2" x14ac:dyDescent="0.25">
      <c r="B867" s="17"/>
    </row>
    <row r="868" spans="2:2" x14ac:dyDescent="0.25">
      <c r="B868" s="17"/>
    </row>
    <row r="869" spans="2:2" x14ac:dyDescent="0.25">
      <c r="B869" s="17"/>
    </row>
    <row r="870" spans="2:2" x14ac:dyDescent="0.25">
      <c r="B870" s="17"/>
    </row>
    <row r="871" spans="2:2" x14ac:dyDescent="0.25">
      <c r="B871" s="17"/>
    </row>
    <row r="872" spans="2:2" x14ac:dyDescent="0.25">
      <c r="B872" s="17"/>
    </row>
    <row r="873" spans="2:2" x14ac:dyDescent="0.25">
      <c r="B873" s="17"/>
    </row>
    <row r="874" spans="2:2" x14ac:dyDescent="0.25">
      <c r="B874" s="17"/>
    </row>
    <row r="875" spans="2:2" x14ac:dyDescent="0.25">
      <c r="B875" s="17"/>
    </row>
    <row r="876" spans="2:2" x14ac:dyDescent="0.25">
      <c r="B876" s="17"/>
    </row>
    <row r="877" spans="2:2" x14ac:dyDescent="0.25">
      <c r="B877" s="17"/>
    </row>
    <row r="878" spans="2:2" x14ac:dyDescent="0.25">
      <c r="B878" s="17"/>
    </row>
    <row r="879" spans="2:2" x14ac:dyDescent="0.25">
      <c r="B879" s="17"/>
    </row>
    <row r="880" spans="2:2" x14ac:dyDescent="0.25">
      <c r="B880" s="17"/>
    </row>
    <row r="881" spans="2:2" x14ac:dyDescent="0.25">
      <c r="B881" s="17"/>
    </row>
    <row r="882" spans="2:2" x14ac:dyDescent="0.25">
      <c r="B882" s="17"/>
    </row>
    <row r="883" spans="2:2" x14ac:dyDescent="0.25">
      <c r="B883" s="17"/>
    </row>
    <row r="884" spans="2:2" x14ac:dyDescent="0.25">
      <c r="B884" s="17"/>
    </row>
    <row r="885" spans="2:2" x14ac:dyDescent="0.25">
      <c r="B885" s="17"/>
    </row>
    <row r="886" spans="2:2" x14ac:dyDescent="0.25">
      <c r="B886" s="17"/>
    </row>
    <row r="887" spans="2:2" x14ac:dyDescent="0.25">
      <c r="B887" s="17"/>
    </row>
    <row r="888" spans="2:2" x14ac:dyDescent="0.25">
      <c r="B888" s="17"/>
    </row>
    <row r="889" spans="2:2" x14ac:dyDescent="0.25">
      <c r="B889" s="17"/>
    </row>
    <row r="890" spans="2:2" x14ac:dyDescent="0.25">
      <c r="B890" s="17"/>
    </row>
    <row r="891" spans="2:2" x14ac:dyDescent="0.25">
      <c r="B891" s="17"/>
    </row>
    <row r="892" spans="2:2" x14ac:dyDescent="0.25">
      <c r="B892" s="17"/>
    </row>
    <row r="893" spans="2:2" x14ac:dyDescent="0.25">
      <c r="B893" s="17"/>
    </row>
    <row r="894" spans="2:2" x14ac:dyDescent="0.25">
      <c r="B894" s="17"/>
    </row>
    <row r="895" spans="2:2" x14ac:dyDescent="0.25">
      <c r="B895" s="17"/>
    </row>
    <row r="896" spans="2:2" x14ac:dyDescent="0.25">
      <c r="B896" s="17"/>
    </row>
    <row r="897" spans="2:2" x14ac:dyDescent="0.25">
      <c r="B897" s="17"/>
    </row>
    <row r="898" spans="2:2" x14ac:dyDescent="0.25">
      <c r="B898" s="17"/>
    </row>
    <row r="899" spans="2:2" x14ac:dyDescent="0.25">
      <c r="B899" s="17"/>
    </row>
    <row r="900" spans="2:2" x14ac:dyDescent="0.25">
      <c r="B900" s="17"/>
    </row>
    <row r="901" spans="2:2" x14ac:dyDescent="0.25">
      <c r="B901" s="17"/>
    </row>
    <row r="902" spans="2:2" x14ac:dyDescent="0.25">
      <c r="B902" s="17"/>
    </row>
    <row r="903" spans="2:2" x14ac:dyDescent="0.25">
      <c r="B903" s="17"/>
    </row>
    <row r="904" spans="2:2" x14ac:dyDescent="0.25">
      <c r="B904" s="17"/>
    </row>
    <row r="905" spans="2:2" x14ac:dyDescent="0.25">
      <c r="B905" s="17"/>
    </row>
    <row r="906" spans="2:2" x14ac:dyDescent="0.25">
      <c r="B906" s="17"/>
    </row>
    <row r="907" spans="2:2" x14ac:dyDescent="0.25">
      <c r="B907" s="17"/>
    </row>
    <row r="908" spans="2:2" x14ac:dyDescent="0.25">
      <c r="B908" s="17"/>
    </row>
    <row r="909" spans="2:2" x14ac:dyDescent="0.25">
      <c r="B909" s="17"/>
    </row>
    <row r="910" spans="2:2" x14ac:dyDescent="0.25">
      <c r="B910" s="17"/>
    </row>
    <row r="911" spans="2:2" x14ac:dyDescent="0.25">
      <c r="B911" s="17"/>
    </row>
    <row r="912" spans="2:2" x14ac:dyDescent="0.25">
      <c r="B912" s="17"/>
    </row>
    <row r="913" spans="2:2" x14ac:dyDescent="0.25">
      <c r="B913" s="17"/>
    </row>
    <row r="914" spans="2:2" x14ac:dyDescent="0.25">
      <c r="B914" s="17"/>
    </row>
    <row r="915" spans="2:2" x14ac:dyDescent="0.25">
      <c r="B915" s="17"/>
    </row>
    <row r="916" spans="2:2" x14ac:dyDescent="0.25">
      <c r="B916" s="17"/>
    </row>
    <row r="917" spans="2:2" x14ac:dyDescent="0.25">
      <c r="B917" s="17"/>
    </row>
    <row r="918" spans="2:2" x14ac:dyDescent="0.25">
      <c r="B918" s="17"/>
    </row>
    <row r="919" spans="2:2" x14ac:dyDescent="0.25">
      <c r="B919" s="17"/>
    </row>
    <row r="920" spans="2:2" x14ac:dyDescent="0.25">
      <c r="B920" s="17"/>
    </row>
    <row r="921" spans="2:2" x14ac:dyDescent="0.25">
      <c r="B921" s="17"/>
    </row>
    <row r="922" spans="2:2" x14ac:dyDescent="0.25">
      <c r="B922" s="17"/>
    </row>
    <row r="923" spans="2:2" x14ac:dyDescent="0.25">
      <c r="B923" s="17"/>
    </row>
    <row r="924" spans="2:2" x14ac:dyDescent="0.25">
      <c r="B924" s="17"/>
    </row>
    <row r="925" spans="2:2" x14ac:dyDescent="0.25">
      <c r="B925" s="17"/>
    </row>
    <row r="926" spans="2:2" x14ac:dyDescent="0.25">
      <c r="B926" s="17"/>
    </row>
    <row r="927" spans="2:2" x14ac:dyDescent="0.25">
      <c r="B927" s="17"/>
    </row>
    <row r="928" spans="2:2" x14ac:dyDescent="0.25">
      <c r="B928" s="17"/>
    </row>
    <row r="929" spans="2:2" x14ac:dyDescent="0.25">
      <c r="B929" s="17"/>
    </row>
    <row r="930" spans="2:2" x14ac:dyDescent="0.25">
      <c r="B930" s="17"/>
    </row>
    <row r="931" spans="2:2" x14ac:dyDescent="0.25">
      <c r="B931" s="17"/>
    </row>
    <row r="932" spans="2:2" x14ac:dyDescent="0.25">
      <c r="B932" s="17"/>
    </row>
    <row r="933" spans="2:2" x14ac:dyDescent="0.25">
      <c r="B933" s="17"/>
    </row>
    <row r="934" spans="2:2" x14ac:dyDescent="0.25">
      <c r="B934" s="17"/>
    </row>
    <row r="935" spans="2:2" x14ac:dyDescent="0.25">
      <c r="B935" s="17"/>
    </row>
    <row r="936" spans="2:2" x14ac:dyDescent="0.25">
      <c r="B936" s="17"/>
    </row>
    <row r="937" spans="2:2" x14ac:dyDescent="0.25">
      <c r="B937" s="17"/>
    </row>
    <row r="942" spans="2:2" x14ac:dyDescent="0.25">
      <c r="B942" s="17"/>
    </row>
    <row r="943" spans="2:2" x14ac:dyDescent="0.25">
      <c r="B943" s="17"/>
    </row>
    <row r="944" spans="2:2" x14ac:dyDescent="0.25">
      <c r="B944" s="17"/>
    </row>
    <row r="945" spans="2:2" x14ac:dyDescent="0.25">
      <c r="B945" s="17"/>
    </row>
  </sheetData>
  <autoFilter ref="A2:D309"/>
  <sortState ref="A4:P360">
    <sortCondition ref="C4:C360"/>
    <sortCondition ref="B4:B360"/>
  </sortState>
  <mergeCells count="3">
    <mergeCell ref="A1:D1"/>
    <mergeCell ref="E1:F2"/>
    <mergeCell ref="E3:F3"/>
  </mergeCells>
  <phoneticPr fontId="0" type="noConversion"/>
  <conditionalFormatting sqref="A48:D59 C179:D179 A180:D187 A174:D174 A173:B173 D173 A176:D178 A175:B175 D175 C41 A99:D136 A88:D97 A237:D255 A61:D68 A198:D234 D38:D47 A138:D172 A189:D191 A193:D195 A70:D80 A82:D85 A260:D395 A257:D258 D3:D28 D30:D36">
    <cfRule type="containsErrors" dxfId="42" priority="42">
      <formula>ISERROR(A3)</formula>
    </cfRule>
  </conditionalFormatting>
  <conditionalFormatting sqref="A174:D174 A173:B173 D173 A176:D187 A175:B175 D175 A99:D136 A88:D97 A237:D255 A61:D68 A198:D234 A38:D59 A138:D172 A189:D191 A193:D195 A70:D80 A82:D85 A260:D395 A257:D258 A3:D28 A30:D36">
    <cfRule type="cellIs" dxfId="41" priority="41" operator="equal">
      <formula>0</formula>
    </cfRule>
  </conditionalFormatting>
  <conditionalFormatting sqref="C173">
    <cfRule type="containsErrors" dxfId="40" priority="38">
      <formula>ISERROR(C173)</formula>
    </cfRule>
    <cfRule type="cellIs" dxfId="39" priority="39" operator="equal">
      <formula>0</formula>
    </cfRule>
    <cfRule type="cellIs" dxfId="38" priority="40" operator="equal">
      <formula>0</formula>
    </cfRule>
  </conditionalFormatting>
  <conditionalFormatting sqref="C175">
    <cfRule type="containsErrors" dxfId="37" priority="35">
      <formula>ISERROR(C175)</formula>
    </cfRule>
    <cfRule type="cellIs" dxfId="36" priority="36" operator="equal">
      <formula>0</formula>
    </cfRule>
    <cfRule type="cellIs" dxfId="35" priority="37" operator="equal">
      <formula>0</formula>
    </cfRule>
  </conditionalFormatting>
  <conditionalFormatting sqref="A98:D98">
    <cfRule type="containsErrors" dxfId="34" priority="34">
      <formula>ISERROR(A98)</formula>
    </cfRule>
  </conditionalFormatting>
  <conditionalFormatting sqref="A98:D98">
    <cfRule type="cellIs" dxfId="33" priority="33" operator="equal">
      <formula>0</formula>
    </cfRule>
  </conditionalFormatting>
  <conditionalFormatting sqref="A87:D87">
    <cfRule type="containsErrors" dxfId="32" priority="32">
      <formula>ISERROR(A87)</formula>
    </cfRule>
  </conditionalFormatting>
  <conditionalFormatting sqref="A87:D87">
    <cfRule type="cellIs" dxfId="31" priority="31" operator="equal">
      <formula>0</formula>
    </cfRule>
  </conditionalFormatting>
  <conditionalFormatting sqref="A236:D236">
    <cfRule type="containsErrors" dxfId="30" priority="30">
      <formula>ISERROR(A236)</formula>
    </cfRule>
  </conditionalFormatting>
  <conditionalFormatting sqref="A236:D236">
    <cfRule type="cellIs" dxfId="29" priority="29" operator="equal">
      <formula>0</formula>
    </cfRule>
  </conditionalFormatting>
  <conditionalFormatting sqref="A60:D60">
    <cfRule type="containsErrors" dxfId="28" priority="28">
      <formula>ISERROR(A60)</formula>
    </cfRule>
  </conditionalFormatting>
  <conditionalFormatting sqref="A60:D60">
    <cfRule type="cellIs" dxfId="27" priority="27" operator="equal">
      <formula>0</formula>
    </cfRule>
  </conditionalFormatting>
  <conditionalFormatting sqref="A69:D69">
    <cfRule type="containsErrors" dxfId="26" priority="26">
      <formula>ISERROR(A69)</formula>
    </cfRule>
  </conditionalFormatting>
  <conditionalFormatting sqref="A69:D69">
    <cfRule type="cellIs" dxfId="25" priority="25" operator="equal">
      <formula>0</formula>
    </cfRule>
  </conditionalFormatting>
  <conditionalFormatting sqref="A256:D256">
    <cfRule type="containsErrors" dxfId="24" priority="24">
      <formula>ISERROR(A256)</formula>
    </cfRule>
  </conditionalFormatting>
  <conditionalFormatting sqref="A256:D256">
    <cfRule type="cellIs" dxfId="23" priority="23" operator="equal">
      <formula>0</formula>
    </cfRule>
  </conditionalFormatting>
  <conditionalFormatting sqref="A86:D86">
    <cfRule type="containsErrors" dxfId="22" priority="22">
      <formula>ISERROR(A86)</formula>
    </cfRule>
  </conditionalFormatting>
  <conditionalFormatting sqref="A86:D86">
    <cfRule type="cellIs" dxfId="21" priority="21" operator="equal">
      <formula>0</formula>
    </cfRule>
  </conditionalFormatting>
  <conditionalFormatting sqref="A196:D196">
    <cfRule type="containsErrors" dxfId="20" priority="20">
      <formula>ISERROR(A196)</formula>
    </cfRule>
  </conditionalFormatting>
  <conditionalFormatting sqref="A196:D196">
    <cfRule type="cellIs" dxfId="19" priority="19" operator="equal">
      <formula>0</formula>
    </cfRule>
  </conditionalFormatting>
  <conditionalFormatting sqref="D37">
    <cfRule type="containsErrors" dxfId="18" priority="18">
      <formula>ISERROR(D37)</formula>
    </cfRule>
  </conditionalFormatting>
  <conditionalFormatting sqref="A37:D37">
    <cfRule type="cellIs" dxfId="17" priority="17" operator="equal">
      <formula>0</formula>
    </cfRule>
  </conditionalFormatting>
  <conditionalFormatting sqref="A137:D137">
    <cfRule type="containsErrors" dxfId="16" priority="16">
      <formula>ISERROR(A137)</formula>
    </cfRule>
  </conditionalFormatting>
  <conditionalFormatting sqref="A137:D137">
    <cfRule type="cellIs" dxfId="15" priority="15" operator="equal">
      <formula>0</formula>
    </cfRule>
  </conditionalFormatting>
  <conditionalFormatting sqref="A188:D188">
    <cfRule type="containsErrors" dxfId="14" priority="14">
      <formula>ISERROR(A188)</formula>
    </cfRule>
  </conditionalFormatting>
  <conditionalFormatting sqref="A188:D188">
    <cfRule type="cellIs" dxfId="13" priority="13" operator="equal">
      <formula>0</formula>
    </cfRule>
  </conditionalFormatting>
  <conditionalFormatting sqref="A192:D192">
    <cfRule type="containsErrors" dxfId="12" priority="12">
      <formula>ISERROR(A192)</formula>
    </cfRule>
  </conditionalFormatting>
  <conditionalFormatting sqref="A192:D192">
    <cfRule type="cellIs" dxfId="11" priority="11" operator="equal">
      <formula>0</formula>
    </cfRule>
  </conditionalFormatting>
  <conditionalFormatting sqref="A197:D197">
    <cfRule type="containsErrors" dxfId="10" priority="10">
      <formula>ISERROR(A197)</formula>
    </cfRule>
  </conditionalFormatting>
  <conditionalFormatting sqref="A197:D197">
    <cfRule type="cellIs" dxfId="9" priority="9" operator="equal">
      <formula>0</formula>
    </cfRule>
  </conditionalFormatting>
  <conditionalFormatting sqref="A259:D259">
    <cfRule type="containsErrors" dxfId="8" priority="8">
      <formula>ISERROR(A259)</formula>
    </cfRule>
  </conditionalFormatting>
  <conditionalFormatting sqref="A259:D259">
    <cfRule type="cellIs" dxfId="7" priority="7" operator="equal">
      <formula>0</formula>
    </cfRule>
  </conditionalFormatting>
  <conditionalFormatting sqref="A81:D81">
    <cfRule type="containsErrors" dxfId="6" priority="6">
      <formula>ISERROR(A81)</formula>
    </cfRule>
  </conditionalFormatting>
  <conditionalFormatting sqref="A81:D81">
    <cfRule type="cellIs" dxfId="5" priority="5" operator="equal">
      <formula>0</formula>
    </cfRule>
  </conditionalFormatting>
  <conditionalFormatting sqref="D29">
    <cfRule type="containsErrors" dxfId="4" priority="4">
      <formula>ISERROR(D29)</formula>
    </cfRule>
  </conditionalFormatting>
  <conditionalFormatting sqref="A29:D29">
    <cfRule type="cellIs" dxfId="3" priority="3" operator="equal">
      <formula>0</formula>
    </cfRule>
  </conditionalFormatting>
  <conditionalFormatting sqref="A235:D235">
    <cfRule type="containsErrors" dxfId="2" priority="2">
      <formula>ISERROR(A235)</formula>
    </cfRule>
  </conditionalFormatting>
  <conditionalFormatting sqref="A235:D235">
    <cfRule type="cellIs" dxfId="1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24</vt:i4>
      </vt:variant>
    </vt:vector>
  </HeadingPairs>
  <TitlesOfParts>
    <vt:vector size="30" baseType="lpstr">
      <vt:lpstr>Tirage</vt:lpstr>
      <vt:lpstr>Match</vt:lpstr>
      <vt:lpstr>Classement impression</vt:lpstr>
      <vt:lpstr>Feuille de résultat</vt:lpstr>
      <vt:lpstr>Engagement tour suivant</vt:lpstr>
      <vt:lpstr>Licenciés</vt:lpstr>
      <vt:lpstr>Categories</vt:lpstr>
      <vt:lpstr>Class_finale</vt:lpstr>
      <vt:lpstr>ClassFeuilleResultat</vt:lpstr>
      <vt:lpstr>joueurs</vt:lpstr>
      <vt:lpstr>Lieu</vt:lpstr>
      <vt:lpstr>Mécanisme_de_jeu</vt:lpstr>
      <vt:lpstr>Mode_de_jeu</vt:lpstr>
      <vt:lpstr>Moyenneintermediaire</vt:lpstr>
      <vt:lpstr>p1_1</vt:lpstr>
      <vt:lpstr>poule4</vt:lpstr>
      <vt:lpstr>Quota</vt:lpstr>
      <vt:lpstr>Rangfinal</vt:lpstr>
      <vt:lpstr>Scenario1</vt:lpstr>
      <vt:lpstr>ScenarioTableau</vt:lpstr>
      <vt:lpstr>Stade_epreuve</vt:lpstr>
      <vt:lpstr>Tb_Moyenneintermediaire</vt:lpstr>
      <vt:lpstr>Tour1</vt:lpstr>
      <vt:lpstr>Tour2</vt:lpstr>
      <vt:lpstr>Tour3</vt:lpstr>
      <vt:lpstr>TourDeJeu</vt:lpstr>
      <vt:lpstr>'Classement impression'!Zone_d_impression</vt:lpstr>
      <vt:lpstr>'Engagement tour suivant'!Zone_d_impression</vt:lpstr>
      <vt:lpstr>'Feuille de résultat'!Zone_d_impression</vt:lpstr>
      <vt:lpstr>Match!Zone_d_impression</vt:lpstr>
    </vt:vector>
  </TitlesOfParts>
  <Company>COB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</dc:creator>
  <cp:lastModifiedBy>Billard</cp:lastModifiedBy>
  <cp:revision/>
  <cp:lastPrinted>2025-09-02T09:55:19Z</cp:lastPrinted>
  <dcterms:created xsi:type="dcterms:W3CDTF">2009-10-27T13:11:27Z</dcterms:created>
  <dcterms:modified xsi:type="dcterms:W3CDTF">2025-09-25T10:46:16Z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209453224</vt:i4>
  </property>
  <property fmtid="{D5CDD505-2E9C-101B-9397-08002B2CF9AE}" pid="3" name="_EmailSubject">
    <vt:lpwstr>Classeur1.xls</vt:lpwstr>
  </property>
  <property fmtid="{D5CDD505-2E9C-101B-9397-08002B2CF9AE}" pid="4" name="_AuthorEmail">
    <vt:lpwstr>joel.alexanian@ratp.fr</vt:lpwstr>
  </property>
  <property fmtid="{D5CDD505-2E9C-101B-9397-08002B2CF9AE}" pid="5" name="_AuthorEmailDisplayName">
    <vt:lpwstr>ALEXANIAN Joel</vt:lpwstr>
  </property>
  <property fmtid="{D5CDD505-2E9C-101B-9397-08002B2CF9AE}" pid="6" name="_ReviewingToolsShownOnce">
    <vt:lpwstr/>
  </property>
</Properties>
</file>